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ЭтаКнига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aa_prun\Desktop\"/>
    </mc:Choice>
  </mc:AlternateContent>
  <workbookProtection workbookAlgorithmName="SHA-512" workbookHashValue="HRV0X6pcjbg5slvExIKonT+hcxOvvfldCzrCwNLR0YOpaT0QejReoqc/0/YUhqHiBMn18rmejFiK+eim/zglcA==" workbookSaltValue="B79kzHJwncWBuCJ+enx1xQ==" workbookSpinCount="100000" lockStructure="1"/>
  <bookViews>
    <workbookView xWindow="0" yWindow="0" windowWidth="23040" windowHeight="9192" tabRatio="681"/>
  </bookViews>
  <sheets>
    <sheet name="Подвесная" sheetId="5" r:id="rId1"/>
    <sheet name="Подвесная угловая" sheetId="10" r:id="rId2"/>
    <sheet name="Складная" sheetId="4" r:id="rId3"/>
    <sheet name="Распашная" sheetId="3" r:id="rId4"/>
    <sheet name="Стационарная" sheetId="1" r:id="rId5"/>
    <sheet name="Цены" sheetId="9" r:id="rId6"/>
  </sheets>
  <calcPr calcId="162913"/>
</workbook>
</file>

<file path=xl/calcChain.xml><?xml version="1.0" encoding="utf-8"?>
<calcChain xmlns="http://schemas.openxmlformats.org/spreadsheetml/2006/main">
  <c r="O45" i="10" l="1"/>
  <c r="N147" i="9"/>
  <c r="N148" i="9"/>
  <c r="N146" i="9"/>
  <c r="J148" i="9"/>
  <c r="I148" i="9" s="1"/>
  <c r="J147" i="9"/>
  <c r="I147" i="9" s="1"/>
  <c r="J146" i="9"/>
  <c r="I146" i="9" s="1"/>
  <c r="R45" i="10" s="1"/>
  <c r="E39" i="10" l="1"/>
  <c r="E24" i="10" l="1"/>
  <c r="O29" i="10" l="1"/>
  <c r="M5" i="10"/>
  <c r="K5" i="10" l="1"/>
  <c r="K4" i="1" l="1"/>
  <c r="L9" i="1"/>
  <c r="M9" i="1"/>
  <c r="O9" i="1"/>
  <c r="J8" i="9"/>
  <c r="I8" i="9" s="1"/>
  <c r="M13" i="1"/>
  <c r="K5" i="1"/>
  <c r="L13" i="1"/>
  <c r="N13" i="1"/>
  <c r="AX13" i="1"/>
  <c r="AW13" i="1"/>
  <c r="AK13" i="1"/>
  <c r="U13" i="1"/>
  <c r="AN13" i="1"/>
  <c r="X13" i="1"/>
  <c r="AQ13" i="1"/>
  <c r="AA13" i="1"/>
  <c r="AT13" i="1"/>
  <c r="AD13" i="1"/>
  <c r="AU13" i="1"/>
  <c r="AE13" i="1"/>
  <c r="J29" i="9"/>
  <c r="I29" i="9" s="1"/>
  <c r="M14" i="1"/>
  <c r="L14" i="1"/>
  <c r="N14" i="1"/>
  <c r="AX14" i="1"/>
  <c r="AW14" i="1"/>
  <c r="AK14" i="1"/>
  <c r="U14" i="1"/>
  <c r="AN14" i="1"/>
  <c r="X14" i="1"/>
  <c r="AQ14" i="1"/>
  <c r="AA14" i="1"/>
  <c r="AT14" i="1"/>
  <c r="AD14" i="1"/>
  <c r="AU14" i="1"/>
  <c r="AE14" i="1"/>
  <c r="J37" i="9"/>
  <c r="I37" i="9" s="1"/>
  <c r="L10" i="1"/>
  <c r="M10" i="1"/>
  <c r="L11" i="1"/>
  <c r="M11" i="1"/>
  <c r="N10" i="1"/>
  <c r="AX10" i="1"/>
  <c r="AW10" i="1"/>
  <c r="AO10" i="1"/>
  <c r="Y10" i="1"/>
  <c r="AU10" i="1"/>
  <c r="AE10" i="1"/>
  <c r="J24" i="9"/>
  <c r="I24" i="9" s="1"/>
  <c r="L12" i="1"/>
  <c r="M12" i="1"/>
  <c r="N12" i="1"/>
  <c r="AX12" i="1"/>
  <c r="AW12" i="1"/>
  <c r="AO12" i="1"/>
  <c r="Y12" i="1"/>
  <c r="AU12" i="1"/>
  <c r="AE12" i="1"/>
  <c r="J16" i="9"/>
  <c r="I16" i="9" s="1"/>
  <c r="AW15" i="1"/>
  <c r="AK15" i="1"/>
  <c r="U15" i="1"/>
  <c r="AN15" i="1"/>
  <c r="X15" i="1"/>
  <c r="AQ15" i="1"/>
  <c r="AA15" i="1"/>
  <c r="AT15" i="1"/>
  <c r="AD15" i="1"/>
  <c r="AX15" i="1"/>
  <c r="AU15" i="1"/>
  <c r="AE15" i="1"/>
  <c r="J45" i="9"/>
  <c r="I45" i="9" s="1"/>
  <c r="L16" i="1"/>
  <c r="M16" i="1"/>
  <c r="N16" i="1"/>
  <c r="AZ16" i="1"/>
  <c r="AP16" i="1"/>
  <c r="Z16" i="1"/>
  <c r="BA16" i="1"/>
  <c r="AV16" i="1"/>
  <c r="AF16" i="1"/>
  <c r="J68" i="9"/>
  <c r="I68" i="9" s="1"/>
  <c r="AH16" i="1" s="1"/>
  <c r="M15" i="1"/>
  <c r="O24" i="1"/>
  <c r="J163" i="9"/>
  <c r="I163" i="9" s="1"/>
  <c r="O25" i="1"/>
  <c r="J156" i="9"/>
  <c r="I156" i="9" s="1"/>
  <c r="E18" i="1"/>
  <c r="F18" i="1"/>
  <c r="F21" i="1"/>
  <c r="F22" i="1"/>
  <c r="G18" i="1"/>
  <c r="G21" i="1"/>
  <c r="G22" i="1"/>
  <c r="O26" i="1"/>
  <c r="I157" i="9"/>
  <c r="R26" i="1"/>
  <c r="O27" i="1"/>
  <c r="J150" i="9"/>
  <c r="I150" i="9" s="1"/>
  <c r="O28" i="1"/>
  <c r="J111" i="9"/>
  <c r="I111" i="9" s="1"/>
  <c r="R34" i="4" s="1"/>
  <c r="O29" i="1"/>
  <c r="J140" i="9"/>
  <c r="I140" i="9" s="1"/>
  <c r="O30" i="1"/>
  <c r="J159" i="9"/>
  <c r="I159" i="9" s="1"/>
  <c r="O31" i="1"/>
  <c r="J155" i="9"/>
  <c r="I155" i="9" s="1"/>
  <c r="O23" i="1"/>
  <c r="J110" i="9"/>
  <c r="I110" i="9" s="1"/>
  <c r="R23" i="1" s="1"/>
  <c r="H18" i="1"/>
  <c r="F19" i="1"/>
  <c r="G19" i="1"/>
  <c r="H19" i="1"/>
  <c r="F20" i="1"/>
  <c r="G20" i="1"/>
  <c r="H20" i="1"/>
  <c r="H21" i="1"/>
  <c r="H22" i="1"/>
  <c r="H23" i="1"/>
  <c r="AW28" i="1"/>
  <c r="AL28" i="1"/>
  <c r="V28" i="1"/>
  <c r="AO28" i="1"/>
  <c r="Y28" i="1"/>
  <c r="AS28" i="1"/>
  <c r="AC28" i="1"/>
  <c r="AX28" i="1"/>
  <c r="AU28" i="1"/>
  <c r="AE28" i="1"/>
  <c r="AZ29" i="1"/>
  <c r="AP29" i="1"/>
  <c r="Z29" i="1"/>
  <c r="BA29" i="1"/>
  <c r="AV29" i="1"/>
  <c r="AF29" i="1"/>
  <c r="J81" i="9"/>
  <c r="I81" i="9" s="1"/>
  <c r="AZ15" i="1"/>
  <c r="AZ28" i="1"/>
  <c r="AM28" i="1"/>
  <c r="W28" i="1"/>
  <c r="AP28" i="1"/>
  <c r="Z28" i="1"/>
  <c r="AR28" i="1"/>
  <c r="AB28" i="1"/>
  <c r="BA15" i="1"/>
  <c r="BA28" i="1"/>
  <c r="AV28" i="1"/>
  <c r="AF28" i="1"/>
  <c r="J69" i="9"/>
  <c r="I69" i="9" s="1"/>
  <c r="AW27" i="1"/>
  <c r="AL27" i="1"/>
  <c r="V27" i="1"/>
  <c r="AO27" i="1"/>
  <c r="Y27" i="1"/>
  <c r="AS27" i="1"/>
  <c r="AC27" i="1"/>
  <c r="AX27" i="1"/>
  <c r="AU27" i="1"/>
  <c r="AE27" i="1"/>
  <c r="AW26" i="1"/>
  <c r="AL26" i="1"/>
  <c r="V26" i="1"/>
  <c r="AO26" i="1"/>
  <c r="Y26" i="1"/>
  <c r="AS26" i="1"/>
  <c r="AC26" i="1"/>
  <c r="AX26" i="1"/>
  <c r="AU26" i="1"/>
  <c r="AE26" i="1"/>
  <c r="AG28" i="1"/>
  <c r="AG29" i="1"/>
  <c r="AG27" i="1"/>
  <c r="AG26" i="1"/>
  <c r="AW25" i="1"/>
  <c r="AO25" i="1"/>
  <c r="Y25" i="1"/>
  <c r="AX25" i="1"/>
  <c r="AU25" i="1"/>
  <c r="AE25" i="1"/>
  <c r="AG25" i="1"/>
  <c r="AW23" i="1"/>
  <c r="AO23" i="1"/>
  <c r="Y23" i="1"/>
  <c r="AX23" i="1"/>
  <c r="AU23" i="1"/>
  <c r="AE23" i="1"/>
  <c r="AG23" i="1"/>
  <c r="K5" i="3"/>
  <c r="L11" i="3"/>
  <c r="M11" i="3"/>
  <c r="N11" i="3"/>
  <c r="AX11" i="3"/>
  <c r="AW11" i="3"/>
  <c r="AW21" i="3"/>
  <c r="AL21" i="3"/>
  <c r="V21" i="3"/>
  <c r="AO21" i="3"/>
  <c r="Y21" i="3"/>
  <c r="AS21" i="3"/>
  <c r="AC21" i="3"/>
  <c r="AX21" i="3"/>
  <c r="AU21" i="3"/>
  <c r="AE21" i="3"/>
  <c r="AG21" i="3"/>
  <c r="L10" i="3"/>
  <c r="M10" i="3"/>
  <c r="N10" i="3"/>
  <c r="AX10" i="3"/>
  <c r="AW10" i="3"/>
  <c r="AW20" i="3"/>
  <c r="AL20" i="3"/>
  <c r="V20" i="3"/>
  <c r="AO20" i="3"/>
  <c r="Y20" i="3"/>
  <c r="AS20" i="3"/>
  <c r="AC20" i="3"/>
  <c r="AX20" i="3"/>
  <c r="AU20" i="3"/>
  <c r="AE20" i="3"/>
  <c r="AG20" i="3"/>
  <c r="U26" i="1"/>
  <c r="W26" i="1"/>
  <c r="X26" i="1"/>
  <c r="Z26" i="1"/>
  <c r="AA26" i="1"/>
  <c r="AB26" i="1"/>
  <c r="AD26" i="1"/>
  <c r="AF26" i="1"/>
  <c r="U27" i="1"/>
  <c r="W27" i="1"/>
  <c r="X27" i="1"/>
  <c r="Z27" i="1"/>
  <c r="AA27" i="1"/>
  <c r="AB27" i="1"/>
  <c r="AD27" i="1"/>
  <c r="AF27" i="1"/>
  <c r="U28" i="1"/>
  <c r="X28" i="1"/>
  <c r="AA28" i="1"/>
  <c r="AD28" i="1"/>
  <c r="U29" i="1"/>
  <c r="V29" i="1"/>
  <c r="W29" i="1"/>
  <c r="X29" i="1"/>
  <c r="Y29" i="1"/>
  <c r="AA29" i="1"/>
  <c r="AB29" i="1"/>
  <c r="AC29" i="1"/>
  <c r="AD29" i="1"/>
  <c r="AE29" i="1"/>
  <c r="V25" i="1"/>
  <c r="W25" i="1"/>
  <c r="X25" i="1"/>
  <c r="Z25" i="1"/>
  <c r="AA25" i="1"/>
  <c r="AB25" i="1"/>
  <c r="AC25" i="1"/>
  <c r="AD25" i="1"/>
  <c r="AF25" i="1"/>
  <c r="V23" i="1"/>
  <c r="W23" i="1"/>
  <c r="X23" i="1"/>
  <c r="Z23" i="1"/>
  <c r="AA23" i="1"/>
  <c r="AB23" i="1"/>
  <c r="AC23" i="1"/>
  <c r="AD23" i="1"/>
  <c r="AF23" i="1"/>
  <c r="T26" i="1"/>
  <c r="T27" i="1"/>
  <c r="T28" i="1"/>
  <c r="T29" i="1"/>
  <c r="T25" i="1"/>
  <c r="T23" i="1"/>
  <c r="T22" i="1"/>
  <c r="J38" i="9"/>
  <c r="I38" i="9" s="1"/>
  <c r="AH23" i="1" s="1"/>
  <c r="U25" i="1"/>
  <c r="U23" i="1"/>
  <c r="T13" i="1"/>
  <c r="T14" i="1"/>
  <c r="J15" i="1"/>
  <c r="T15" i="1"/>
  <c r="T16" i="1"/>
  <c r="T12" i="1"/>
  <c r="T10" i="1"/>
  <c r="T9" i="1"/>
  <c r="J12" i="3"/>
  <c r="L12" i="3"/>
  <c r="M12" i="3"/>
  <c r="N12" i="3"/>
  <c r="BA12" i="3"/>
  <c r="AZ12" i="3"/>
  <c r="AM12" i="3"/>
  <c r="W12" i="3"/>
  <c r="AP12" i="3"/>
  <c r="Z12" i="3"/>
  <c r="AR12" i="3"/>
  <c r="AB12" i="3"/>
  <c r="AV12" i="3"/>
  <c r="AF12" i="3"/>
  <c r="AW12" i="3"/>
  <c r="AK12" i="3"/>
  <c r="U12" i="3"/>
  <c r="AN12" i="3"/>
  <c r="X12" i="3"/>
  <c r="AQ12" i="3"/>
  <c r="AA12" i="3"/>
  <c r="AT12" i="3"/>
  <c r="AD12" i="3"/>
  <c r="AX12" i="3"/>
  <c r="AU12" i="3"/>
  <c r="AE12" i="3"/>
  <c r="K4" i="3"/>
  <c r="L9" i="3"/>
  <c r="M9" i="3"/>
  <c r="O9" i="3"/>
  <c r="AK10" i="3"/>
  <c r="U10" i="3"/>
  <c r="AN10" i="3"/>
  <c r="X10" i="3"/>
  <c r="AQ10" i="3"/>
  <c r="AA10" i="3"/>
  <c r="AT10" i="3"/>
  <c r="AD10" i="3"/>
  <c r="AU10" i="3"/>
  <c r="AE10" i="3"/>
  <c r="AK11" i="3"/>
  <c r="U11" i="3"/>
  <c r="AN11" i="3"/>
  <c r="X11" i="3"/>
  <c r="AQ11" i="3"/>
  <c r="AA11" i="3"/>
  <c r="AT11" i="3"/>
  <c r="AD11" i="3"/>
  <c r="AU11" i="3"/>
  <c r="AE11" i="3"/>
  <c r="J26" i="9"/>
  <c r="I26" i="9" s="1"/>
  <c r="O26" i="3"/>
  <c r="BJ4" i="3"/>
  <c r="E22" i="3"/>
  <c r="F22" i="3"/>
  <c r="F25" i="3"/>
  <c r="F26" i="3"/>
  <c r="O27" i="3"/>
  <c r="R27" i="3"/>
  <c r="O30" i="3"/>
  <c r="O31" i="3"/>
  <c r="O32" i="3"/>
  <c r="O25" i="3"/>
  <c r="O28" i="3"/>
  <c r="O29" i="3"/>
  <c r="O19" i="3"/>
  <c r="J100" i="9"/>
  <c r="I100" i="9" s="1"/>
  <c r="R19" i="3" s="1"/>
  <c r="O34" i="3"/>
  <c r="J103" i="9"/>
  <c r="I103" i="9" s="1"/>
  <c r="R34" i="3" s="1"/>
  <c r="J135" i="9"/>
  <c r="I135" i="9" s="1"/>
  <c r="R20" i="3" s="1"/>
  <c r="J153" i="9"/>
  <c r="I153" i="9" s="1"/>
  <c r="R21" i="3" s="1"/>
  <c r="J154" i="9"/>
  <c r="I154" i="9" s="1"/>
  <c r="R22" i="3" s="1"/>
  <c r="J78" i="9"/>
  <c r="I78" i="9" s="1"/>
  <c r="J82" i="9"/>
  <c r="I82" i="9" s="1"/>
  <c r="J97" i="9"/>
  <c r="I97" i="9" s="1"/>
  <c r="R33" i="3" s="1"/>
  <c r="J126" i="9"/>
  <c r="I126" i="9" s="1"/>
  <c r="R35" i="3" s="1"/>
  <c r="H22" i="3"/>
  <c r="F23" i="3"/>
  <c r="H23" i="3"/>
  <c r="F24" i="3"/>
  <c r="H24" i="3"/>
  <c r="H25" i="3"/>
  <c r="H26" i="3"/>
  <c r="H27" i="3"/>
  <c r="AW22" i="3"/>
  <c r="AL22" i="3"/>
  <c r="V22" i="3"/>
  <c r="AO22" i="3"/>
  <c r="Y22" i="3"/>
  <c r="AS22" i="3"/>
  <c r="AC22" i="3"/>
  <c r="AX22" i="3"/>
  <c r="AU22" i="3"/>
  <c r="AE22" i="3"/>
  <c r="AZ22" i="3"/>
  <c r="AM22" i="3"/>
  <c r="W22" i="3"/>
  <c r="AP22" i="3"/>
  <c r="Z22" i="3"/>
  <c r="AR22" i="3"/>
  <c r="AB22" i="3"/>
  <c r="BA22" i="3"/>
  <c r="AV22" i="3"/>
  <c r="AF22" i="3"/>
  <c r="AG22" i="3"/>
  <c r="AG12" i="3"/>
  <c r="U20" i="3"/>
  <c r="W20" i="3"/>
  <c r="X20" i="3"/>
  <c r="Z20" i="3"/>
  <c r="AA20" i="3"/>
  <c r="AB20" i="3"/>
  <c r="AD20" i="3"/>
  <c r="AF20" i="3"/>
  <c r="U21" i="3"/>
  <c r="W21" i="3"/>
  <c r="X21" i="3"/>
  <c r="Z21" i="3"/>
  <c r="AA21" i="3"/>
  <c r="AB21" i="3"/>
  <c r="AD21" i="3"/>
  <c r="AF21" i="3"/>
  <c r="U22" i="3"/>
  <c r="X22" i="3"/>
  <c r="AA22" i="3"/>
  <c r="AD22" i="3"/>
  <c r="U23" i="3"/>
  <c r="V23" i="3"/>
  <c r="W23" i="3"/>
  <c r="X23" i="3"/>
  <c r="Y23" i="3"/>
  <c r="Z23" i="3"/>
  <c r="AA23" i="3"/>
  <c r="AB23" i="3"/>
  <c r="AC23" i="3"/>
  <c r="AD23" i="3"/>
  <c r="AE23" i="3"/>
  <c r="AF23" i="3"/>
  <c r="V19" i="3"/>
  <c r="W19" i="3"/>
  <c r="X19" i="3"/>
  <c r="Y19" i="3"/>
  <c r="Z19" i="3"/>
  <c r="AA19" i="3"/>
  <c r="AB19" i="3"/>
  <c r="AC19" i="3"/>
  <c r="AD19" i="3"/>
  <c r="AE19" i="3"/>
  <c r="AF19" i="3"/>
  <c r="U19" i="3"/>
  <c r="T20" i="3"/>
  <c r="T21" i="3"/>
  <c r="T22" i="3"/>
  <c r="T23" i="3"/>
  <c r="T19" i="3"/>
  <c r="T10" i="3"/>
  <c r="T11" i="3"/>
  <c r="T12" i="3"/>
  <c r="T13" i="3"/>
  <c r="T9" i="3"/>
  <c r="AZ23" i="3"/>
  <c r="BA23" i="3"/>
  <c r="AV23" i="3"/>
  <c r="AP23" i="3"/>
  <c r="AG23" i="3"/>
  <c r="O40" i="10"/>
  <c r="K5" i="4"/>
  <c r="F40" i="10"/>
  <c r="K5" i="5"/>
  <c r="L13" i="5" s="1"/>
  <c r="F25" i="10"/>
  <c r="AJ42" i="10" s="1"/>
  <c r="F26" i="10"/>
  <c r="F27" i="10"/>
  <c r="H27" i="10" s="1"/>
  <c r="F28" i="10"/>
  <c r="F42" i="10"/>
  <c r="AM44" i="10" s="1"/>
  <c r="F43" i="10"/>
  <c r="G25" i="10"/>
  <c r="G26" i="10"/>
  <c r="G28" i="10"/>
  <c r="G40" i="10"/>
  <c r="G41" i="10"/>
  <c r="G43" i="10"/>
  <c r="F39" i="10"/>
  <c r="BQ6" i="10"/>
  <c r="F24" i="10"/>
  <c r="BM25" i="10"/>
  <c r="BM26" i="10"/>
  <c r="BM28" i="10"/>
  <c r="C20" i="10"/>
  <c r="D35" i="10" s="1"/>
  <c r="K4" i="5"/>
  <c r="L9" i="5" s="1"/>
  <c r="M9" i="10"/>
  <c r="L16" i="10"/>
  <c r="AJ16" i="10" s="1"/>
  <c r="M16" i="10"/>
  <c r="M18" i="10"/>
  <c r="L20" i="10"/>
  <c r="AJ20" i="10" s="1"/>
  <c r="M20" i="10"/>
  <c r="L15" i="10"/>
  <c r="N15" i="10" s="1"/>
  <c r="M15" i="10"/>
  <c r="L17" i="10"/>
  <c r="AJ17" i="10" s="1"/>
  <c r="M17" i="10"/>
  <c r="L19" i="10"/>
  <c r="M19" i="10"/>
  <c r="AX19" i="10" s="1"/>
  <c r="G42" i="10"/>
  <c r="H42" i="10"/>
  <c r="G39" i="10"/>
  <c r="J19" i="10"/>
  <c r="T36" i="10" s="1"/>
  <c r="BM42" i="10"/>
  <c r="BM43" i="10"/>
  <c r="BM40" i="10"/>
  <c r="BM41" i="10"/>
  <c r="C35" i="10"/>
  <c r="O44" i="10"/>
  <c r="K4" i="10"/>
  <c r="L9" i="10" s="1"/>
  <c r="O33" i="10"/>
  <c r="BG50" i="10"/>
  <c r="J53" i="9"/>
  <c r="I53" i="9" s="1"/>
  <c r="T27" i="10"/>
  <c r="T10" i="10"/>
  <c r="L11" i="10"/>
  <c r="L12" i="10"/>
  <c r="M11" i="10"/>
  <c r="M12" i="10"/>
  <c r="AX11" i="10"/>
  <c r="AW11" i="10" s="1"/>
  <c r="AW28" i="10" s="1"/>
  <c r="O32" i="10"/>
  <c r="O34" i="10"/>
  <c r="O30" i="10"/>
  <c r="O31" i="10" s="1"/>
  <c r="O26" i="10"/>
  <c r="J130" i="9"/>
  <c r="I130" i="9" s="1"/>
  <c r="J136" i="9"/>
  <c r="I136" i="9" s="1"/>
  <c r="O25" i="10"/>
  <c r="J128" i="9"/>
  <c r="I128" i="9" s="1"/>
  <c r="J137" i="9"/>
  <c r="I137" i="9" s="1"/>
  <c r="J108" i="9"/>
  <c r="I108" i="9" s="1"/>
  <c r="J109" i="9"/>
  <c r="I109" i="9" s="1"/>
  <c r="J89" i="9"/>
  <c r="I89" i="9" s="1"/>
  <c r="J107" i="9"/>
  <c r="I107" i="9" s="1"/>
  <c r="G24" i="10"/>
  <c r="G27" i="10"/>
  <c r="J131" i="9"/>
  <c r="I131" i="9" s="1"/>
  <c r="J96" i="9"/>
  <c r="I96" i="9" s="1"/>
  <c r="O38" i="10"/>
  <c r="O39" i="10"/>
  <c r="O43" i="10"/>
  <c r="J125" i="9"/>
  <c r="I125" i="9" s="1"/>
  <c r="BG51" i="10"/>
  <c r="BG57" i="10"/>
  <c r="BG54" i="10"/>
  <c r="AX16" i="10"/>
  <c r="AX33" i="10" s="1"/>
  <c r="BA19" i="10"/>
  <c r="BA36" i="10" s="1"/>
  <c r="L13" i="10"/>
  <c r="AX13" i="10" s="1"/>
  <c r="L14" i="10"/>
  <c r="AX14" i="10" s="1"/>
  <c r="N13" i="10"/>
  <c r="BB13" i="10" s="1"/>
  <c r="BB30" i="10" s="1"/>
  <c r="AU30" i="10" s="1"/>
  <c r="AE30" i="10" s="1"/>
  <c r="H25" i="10"/>
  <c r="L15" i="4"/>
  <c r="M15" i="4"/>
  <c r="N15" i="4"/>
  <c r="AX15" i="4"/>
  <c r="AW15" i="4"/>
  <c r="AW28" i="4"/>
  <c r="AX28" i="4"/>
  <c r="AU28" i="4"/>
  <c r="L14" i="4"/>
  <c r="M14" i="4"/>
  <c r="N14" i="4"/>
  <c r="AX14" i="4"/>
  <c r="AW14" i="4"/>
  <c r="AW27" i="4"/>
  <c r="AX27" i="4"/>
  <c r="AU27" i="4"/>
  <c r="L13" i="4"/>
  <c r="M13" i="4"/>
  <c r="N13" i="4"/>
  <c r="AX13" i="4"/>
  <c r="AW13" i="4"/>
  <c r="AW26" i="4"/>
  <c r="AX26" i="4"/>
  <c r="AU26" i="4"/>
  <c r="J15" i="5"/>
  <c r="BA15" i="5"/>
  <c r="BA27" i="5" s="1"/>
  <c r="L10" i="5"/>
  <c r="L12" i="5" s="1"/>
  <c r="AE28" i="4"/>
  <c r="AL28" i="4"/>
  <c r="V28" i="4"/>
  <c r="BA15" i="4"/>
  <c r="AZ15" i="4"/>
  <c r="AZ28" i="4"/>
  <c r="AM28" i="4"/>
  <c r="W28" i="4"/>
  <c r="AO28" i="4"/>
  <c r="Y28" i="4"/>
  <c r="AP28" i="4"/>
  <c r="Z28" i="4"/>
  <c r="AR28" i="4"/>
  <c r="AB28" i="4"/>
  <c r="AS28" i="4"/>
  <c r="AC28" i="4"/>
  <c r="BA28" i="4"/>
  <c r="AV28" i="4"/>
  <c r="AF28" i="4"/>
  <c r="AG28" i="4"/>
  <c r="M16" i="4"/>
  <c r="N16" i="4"/>
  <c r="AZ16" i="4"/>
  <c r="AZ29" i="4"/>
  <c r="AP29" i="4"/>
  <c r="Z29" i="4"/>
  <c r="BA16" i="4"/>
  <c r="BA29" i="4"/>
  <c r="AV29" i="4"/>
  <c r="AF29" i="4"/>
  <c r="AG29" i="4"/>
  <c r="AE27" i="4"/>
  <c r="AO27" i="4"/>
  <c r="Y27" i="4"/>
  <c r="AG27" i="4"/>
  <c r="AE26" i="4"/>
  <c r="AL26" i="4"/>
  <c r="V26" i="4"/>
  <c r="AO26" i="4"/>
  <c r="Y26" i="4"/>
  <c r="AS26" i="4"/>
  <c r="AC26" i="4"/>
  <c r="AG26" i="4"/>
  <c r="BC35" i="10"/>
  <c r="BB35" i="10"/>
  <c r="J20" i="10"/>
  <c r="T37" i="10" s="1"/>
  <c r="T28" i="10"/>
  <c r="T29" i="10"/>
  <c r="T30" i="10"/>
  <c r="T31" i="10"/>
  <c r="T32" i="10"/>
  <c r="T33" i="10"/>
  <c r="T34" i="10"/>
  <c r="T35" i="10"/>
  <c r="BM27" i="10"/>
  <c r="O14" i="1"/>
  <c r="O13" i="1"/>
  <c r="O11" i="3"/>
  <c r="O10" i="3"/>
  <c r="O14" i="4"/>
  <c r="O13" i="4"/>
  <c r="L10" i="4"/>
  <c r="M10" i="4"/>
  <c r="N10" i="4"/>
  <c r="AX10" i="4"/>
  <c r="AX23" i="4"/>
  <c r="L11" i="4"/>
  <c r="M11" i="4"/>
  <c r="N11" i="4"/>
  <c r="AX11" i="4"/>
  <c r="AX24" i="4"/>
  <c r="L12" i="4"/>
  <c r="M12" i="4"/>
  <c r="N12" i="4"/>
  <c r="AX12" i="4"/>
  <c r="AX25" i="4"/>
  <c r="AW11" i="4"/>
  <c r="AW24" i="4"/>
  <c r="AW12" i="4"/>
  <c r="AW25" i="4"/>
  <c r="AW10" i="4"/>
  <c r="AW23" i="4"/>
  <c r="M10" i="5"/>
  <c r="M12" i="5"/>
  <c r="L11" i="5"/>
  <c r="M11" i="5"/>
  <c r="E9" i="5"/>
  <c r="M14" i="5" s="1"/>
  <c r="M15" i="5" s="1"/>
  <c r="M13" i="5"/>
  <c r="O15" i="1"/>
  <c r="O12" i="3"/>
  <c r="J15" i="4"/>
  <c r="O15" i="4"/>
  <c r="T12" i="10"/>
  <c r="T13" i="10"/>
  <c r="T14" i="10"/>
  <c r="T15" i="10"/>
  <c r="T16" i="10"/>
  <c r="T17" i="10"/>
  <c r="T18" i="10"/>
  <c r="M4" i="10"/>
  <c r="BM39" i="10" s="1"/>
  <c r="C45" i="10" s="1"/>
  <c r="D45" i="10" s="1"/>
  <c r="O42" i="5"/>
  <c r="T26" i="10"/>
  <c r="T11" i="10"/>
  <c r="T9" i="10"/>
  <c r="K4" i="4"/>
  <c r="L9" i="4"/>
  <c r="M9" i="4"/>
  <c r="O9" i="4"/>
  <c r="AV9" i="4"/>
  <c r="AV22" i="4"/>
  <c r="AF22" i="4"/>
  <c r="AF9" i="4"/>
  <c r="M9" i="5"/>
  <c r="T22" i="5"/>
  <c r="T23" i="5"/>
  <c r="T24" i="5"/>
  <c r="T25" i="5"/>
  <c r="T26" i="5"/>
  <c r="T27" i="5"/>
  <c r="T21" i="5"/>
  <c r="T10" i="5"/>
  <c r="T11" i="5"/>
  <c r="T12" i="5"/>
  <c r="T13" i="5"/>
  <c r="T14" i="5"/>
  <c r="T15" i="5"/>
  <c r="T9" i="5"/>
  <c r="T23" i="4"/>
  <c r="T24" i="4"/>
  <c r="T25" i="4"/>
  <c r="T26" i="4"/>
  <c r="T27" i="4"/>
  <c r="T28" i="4"/>
  <c r="T29" i="4"/>
  <c r="T22" i="4"/>
  <c r="T10" i="4"/>
  <c r="T11" i="4"/>
  <c r="T12" i="4"/>
  <c r="T13" i="4"/>
  <c r="T14" i="4"/>
  <c r="T15" i="4"/>
  <c r="T16" i="4"/>
  <c r="T9" i="4"/>
  <c r="BE50" i="5"/>
  <c r="BE65" i="3" s="1"/>
  <c r="AP24" i="4"/>
  <c r="Z24" i="4"/>
  <c r="AV24" i="4"/>
  <c r="AF24" i="4"/>
  <c r="J60" i="9"/>
  <c r="I60" i="9" s="1"/>
  <c r="BE51" i="5"/>
  <c r="BE52" i="1" s="1"/>
  <c r="BE57" i="5"/>
  <c r="AK54" i="4" s="1"/>
  <c r="BE54" i="5"/>
  <c r="BE55" i="1" s="1"/>
  <c r="AO23" i="4"/>
  <c r="Y23" i="4"/>
  <c r="AU23" i="4"/>
  <c r="AE23" i="4"/>
  <c r="AO10" i="4"/>
  <c r="Y10" i="4"/>
  <c r="AU10" i="4"/>
  <c r="AE10" i="4"/>
  <c r="AP11" i="4"/>
  <c r="Z11" i="4"/>
  <c r="AV11" i="4"/>
  <c r="AF11" i="4"/>
  <c r="AO12" i="4"/>
  <c r="Y12" i="4"/>
  <c r="AU12" i="4"/>
  <c r="AE12" i="4"/>
  <c r="AK13" i="4"/>
  <c r="U13" i="4"/>
  <c r="AN13" i="4"/>
  <c r="X13" i="4"/>
  <c r="AQ13" i="4"/>
  <c r="AA13" i="4"/>
  <c r="AT13" i="4"/>
  <c r="AD13" i="4"/>
  <c r="AU13" i="4"/>
  <c r="AE13" i="4"/>
  <c r="AK14" i="4"/>
  <c r="U14" i="4"/>
  <c r="AN14" i="4"/>
  <c r="X14" i="4"/>
  <c r="AQ14" i="4"/>
  <c r="AA14" i="4"/>
  <c r="AT14" i="4"/>
  <c r="AD14" i="4"/>
  <c r="AU14" i="4"/>
  <c r="AE14" i="4"/>
  <c r="AK15" i="4"/>
  <c r="U15" i="4"/>
  <c r="AN15" i="4"/>
  <c r="X15" i="4"/>
  <c r="AQ15" i="4"/>
  <c r="AA15" i="4"/>
  <c r="AT15" i="4"/>
  <c r="AD15" i="4"/>
  <c r="AU15" i="4"/>
  <c r="AE15" i="4"/>
  <c r="AM15" i="4"/>
  <c r="W15" i="4"/>
  <c r="AP15" i="4"/>
  <c r="Z15" i="4"/>
  <c r="AR15" i="4"/>
  <c r="AB15" i="4"/>
  <c r="AV15" i="4"/>
  <c r="AF15" i="4"/>
  <c r="BE56" i="5"/>
  <c r="BE71" i="3" s="1"/>
  <c r="AP16" i="4"/>
  <c r="Z16" i="4"/>
  <c r="AV16" i="4"/>
  <c r="AF16" i="4"/>
  <c r="O22" i="4"/>
  <c r="J129" i="9"/>
  <c r="I129" i="9" s="1"/>
  <c r="R22" i="4" s="1"/>
  <c r="O23" i="4"/>
  <c r="J115" i="9"/>
  <c r="I115" i="9" s="1"/>
  <c r="R23" i="4" s="1"/>
  <c r="O24" i="4"/>
  <c r="J116" i="9"/>
  <c r="I116" i="9" s="1"/>
  <c r="O25" i="4"/>
  <c r="O26" i="4"/>
  <c r="J122" i="9"/>
  <c r="I122" i="9" s="1"/>
  <c r="R26" i="4" s="1"/>
  <c r="O27" i="4"/>
  <c r="O28" i="4"/>
  <c r="O29" i="4"/>
  <c r="O31" i="4"/>
  <c r="O30" i="4"/>
  <c r="J134" i="9"/>
  <c r="I134" i="9" s="1"/>
  <c r="R31" i="4" s="1"/>
  <c r="O32" i="4"/>
  <c r="BJ5" i="4"/>
  <c r="E20" i="4"/>
  <c r="F20" i="4"/>
  <c r="F23" i="4"/>
  <c r="F24" i="4"/>
  <c r="G20" i="4"/>
  <c r="G23" i="4"/>
  <c r="G24" i="4"/>
  <c r="O33" i="4"/>
  <c r="R33" i="4"/>
  <c r="O34" i="4"/>
  <c r="O35" i="4"/>
  <c r="N36" i="4"/>
  <c r="O36" i="4"/>
  <c r="J144" i="9"/>
  <c r="O38" i="4"/>
  <c r="H20" i="4"/>
  <c r="F21" i="4"/>
  <c r="G21" i="4"/>
  <c r="H21" i="4"/>
  <c r="F22" i="4"/>
  <c r="G22" i="4"/>
  <c r="H22" i="4"/>
  <c r="H23" i="4"/>
  <c r="H24" i="4"/>
  <c r="H25" i="4"/>
  <c r="V29" i="4"/>
  <c r="W29" i="4"/>
  <c r="X29" i="4"/>
  <c r="Y29" i="4"/>
  <c r="AA29" i="4"/>
  <c r="AB29" i="4"/>
  <c r="AC29" i="4"/>
  <c r="AD29" i="4"/>
  <c r="AE29" i="4"/>
  <c r="X28" i="4"/>
  <c r="AA28" i="4"/>
  <c r="AD28" i="4"/>
  <c r="AS27" i="4"/>
  <c r="AL27" i="4"/>
  <c r="W26" i="4"/>
  <c r="X26" i="4"/>
  <c r="Z26" i="4"/>
  <c r="AA26" i="4"/>
  <c r="AB26" i="4"/>
  <c r="AD26" i="4"/>
  <c r="AF26" i="4"/>
  <c r="U23" i="4"/>
  <c r="AO25" i="4"/>
  <c r="Y25" i="4"/>
  <c r="AU25" i="4"/>
  <c r="AE25" i="4"/>
  <c r="U26" i="4"/>
  <c r="U27" i="4"/>
  <c r="X27" i="4"/>
  <c r="AA27" i="4"/>
  <c r="AD27" i="4"/>
  <c r="U28" i="4"/>
  <c r="U29" i="4"/>
  <c r="AF27" i="4"/>
  <c r="AB27" i="4"/>
  <c r="Z27" i="4"/>
  <c r="W27" i="4"/>
  <c r="AG25" i="4"/>
  <c r="AF25" i="4"/>
  <c r="AD25" i="4"/>
  <c r="AB25" i="4"/>
  <c r="AA25" i="4"/>
  <c r="Z25" i="4"/>
  <c r="X25" i="4"/>
  <c r="W25" i="4"/>
  <c r="U25" i="4"/>
  <c r="AG24" i="4"/>
  <c r="AE24" i="4"/>
  <c r="AD24" i="4"/>
  <c r="AB24" i="4"/>
  <c r="AA24" i="4"/>
  <c r="Y24" i="4"/>
  <c r="X24" i="4"/>
  <c r="W24" i="4"/>
  <c r="U24" i="4"/>
  <c r="AG23" i="4"/>
  <c r="AF23" i="4"/>
  <c r="AD23" i="4"/>
  <c r="AB23" i="4"/>
  <c r="AA23" i="4"/>
  <c r="Z23" i="4"/>
  <c r="X23" i="4"/>
  <c r="W23" i="4"/>
  <c r="W10" i="1"/>
  <c r="W12" i="1"/>
  <c r="W13" i="1"/>
  <c r="W14" i="1"/>
  <c r="L15" i="1"/>
  <c r="N15" i="1"/>
  <c r="AM15" i="1"/>
  <c r="W15" i="1"/>
  <c r="W16" i="1"/>
  <c r="BJ6" i="1"/>
  <c r="BI18" i="1"/>
  <c r="BG56" i="10"/>
  <c r="BG55" i="10"/>
  <c r="BG53" i="10"/>
  <c r="BG52" i="10"/>
  <c r="D20" i="10"/>
  <c r="AE9" i="10"/>
  <c r="AD9" i="10"/>
  <c r="AB9" i="10"/>
  <c r="AA9" i="10"/>
  <c r="Z9" i="10"/>
  <c r="Y9" i="10"/>
  <c r="X9" i="10"/>
  <c r="W9" i="10"/>
  <c r="U9" i="10"/>
  <c r="O21" i="5"/>
  <c r="O22" i="5"/>
  <c r="O29" i="5"/>
  <c r="O23" i="5"/>
  <c r="O24" i="5"/>
  <c r="O25" i="5"/>
  <c r="O26" i="5"/>
  <c r="O44" i="5" s="1"/>
  <c r="R44" i="5" s="1"/>
  <c r="O27" i="5"/>
  <c r="O28" i="5"/>
  <c r="J127" i="9"/>
  <c r="I127" i="9" s="1"/>
  <c r="O30" i="5"/>
  <c r="J85" i="9"/>
  <c r="I85" i="9" s="1"/>
  <c r="O31" i="5"/>
  <c r="O32" i="5"/>
  <c r="O34" i="5"/>
  <c r="BO6" i="5"/>
  <c r="G26" i="5"/>
  <c r="G27" i="5"/>
  <c r="G28" i="5"/>
  <c r="G29" i="5"/>
  <c r="G30" i="5"/>
  <c r="O36" i="5"/>
  <c r="O37" i="5"/>
  <c r="O38" i="5"/>
  <c r="O41" i="5"/>
  <c r="J92" i="9"/>
  <c r="I92" i="9" s="1"/>
  <c r="R42" i="5" s="1"/>
  <c r="O43" i="5"/>
  <c r="W26" i="5"/>
  <c r="X26" i="5"/>
  <c r="Z26" i="5"/>
  <c r="AA26" i="5"/>
  <c r="AB26" i="5"/>
  <c r="AD26" i="5"/>
  <c r="AF26" i="5"/>
  <c r="W25" i="5"/>
  <c r="X25" i="5"/>
  <c r="Z25" i="5"/>
  <c r="AA25" i="5"/>
  <c r="AB25" i="5"/>
  <c r="AD25" i="5"/>
  <c r="AF25" i="5"/>
  <c r="U25" i="5"/>
  <c r="U26" i="5"/>
  <c r="AF23" i="5"/>
  <c r="AD23" i="5"/>
  <c r="AB23" i="5"/>
  <c r="AA23" i="5"/>
  <c r="Z23" i="5"/>
  <c r="X23" i="5"/>
  <c r="W23" i="5"/>
  <c r="U23" i="5"/>
  <c r="AF22" i="5"/>
  <c r="AD22" i="5"/>
  <c r="AB22" i="5"/>
  <c r="AA22" i="5"/>
  <c r="Z22" i="5"/>
  <c r="X22" i="5"/>
  <c r="W22" i="5"/>
  <c r="U22" i="5"/>
  <c r="AE21" i="5"/>
  <c r="AD21" i="5"/>
  <c r="AB21" i="5"/>
  <c r="AA21" i="5"/>
  <c r="Z21" i="5"/>
  <c r="Y21" i="5"/>
  <c r="X21" i="5"/>
  <c r="W21" i="5"/>
  <c r="U21" i="5"/>
  <c r="J113" i="9"/>
  <c r="I113" i="9" s="1"/>
  <c r="N113" i="9"/>
  <c r="J98" i="9"/>
  <c r="I98" i="9" s="1"/>
  <c r="J99" i="9"/>
  <c r="I99" i="9" s="1"/>
  <c r="N97" i="9"/>
  <c r="N98" i="9"/>
  <c r="N99" i="9"/>
  <c r="J160" i="9"/>
  <c r="I160" i="9" s="1"/>
  <c r="N160" i="9"/>
  <c r="J161" i="9"/>
  <c r="I161" i="9" s="1"/>
  <c r="N161" i="9"/>
  <c r="J162" i="9"/>
  <c r="I162" i="9" s="1"/>
  <c r="N162" i="9"/>
  <c r="J151" i="9"/>
  <c r="I151" i="9" s="1"/>
  <c r="N151" i="9"/>
  <c r="J152" i="9"/>
  <c r="I152" i="9" s="1"/>
  <c r="N152" i="9"/>
  <c r="O33" i="3"/>
  <c r="J145" i="9"/>
  <c r="I145" i="9" s="1"/>
  <c r="N145" i="9"/>
  <c r="J141" i="9"/>
  <c r="I141" i="9" s="1"/>
  <c r="N141" i="9"/>
  <c r="J142" i="9"/>
  <c r="I142" i="9" s="1"/>
  <c r="N142" i="9"/>
  <c r="J143" i="9"/>
  <c r="I143" i="9" s="1"/>
  <c r="N143" i="9"/>
  <c r="J132" i="9"/>
  <c r="I132" i="9" s="1"/>
  <c r="N132" i="9"/>
  <c r="J133" i="9"/>
  <c r="I133" i="9" s="1"/>
  <c r="N133" i="9"/>
  <c r="J123" i="9"/>
  <c r="I123" i="9" s="1"/>
  <c r="N123" i="9"/>
  <c r="J124" i="9"/>
  <c r="I124" i="9" s="1"/>
  <c r="N124" i="9"/>
  <c r="J117" i="9"/>
  <c r="I117" i="9" s="1"/>
  <c r="N117" i="9"/>
  <c r="J118" i="9"/>
  <c r="I118" i="9" s="1"/>
  <c r="N118" i="9"/>
  <c r="J119" i="9"/>
  <c r="I119" i="9" s="1"/>
  <c r="N119" i="9"/>
  <c r="J120" i="9"/>
  <c r="I120" i="9" s="1"/>
  <c r="N120" i="9"/>
  <c r="J121" i="9"/>
  <c r="I121" i="9" s="1"/>
  <c r="N121" i="9"/>
  <c r="J112" i="9"/>
  <c r="I112" i="9" s="1"/>
  <c r="N112" i="9"/>
  <c r="J114" i="9"/>
  <c r="I114" i="9" s="1"/>
  <c r="N114" i="9"/>
  <c r="J104" i="9"/>
  <c r="I104" i="9" s="1"/>
  <c r="N104" i="9"/>
  <c r="J105" i="9"/>
  <c r="I105" i="9" s="1"/>
  <c r="N105" i="9"/>
  <c r="J106" i="9"/>
  <c r="I106" i="9" s="1"/>
  <c r="N106" i="9"/>
  <c r="J101" i="9"/>
  <c r="I101" i="9" s="1"/>
  <c r="N101" i="9"/>
  <c r="J102" i="9"/>
  <c r="I102" i="9" s="1"/>
  <c r="N102" i="9"/>
  <c r="J93" i="9"/>
  <c r="I93" i="9" s="1"/>
  <c r="N93" i="9"/>
  <c r="J94" i="9"/>
  <c r="I94" i="9" s="1"/>
  <c r="N94" i="9"/>
  <c r="J90" i="9"/>
  <c r="I90" i="9" s="1"/>
  <c r="N90" i="9"/>
  <c r="J91" i="9"/>
  <c r="I91" i="9" s="1"/>
  <c r="N91" i="9"/>
  <c r="J86" i="9"/>
  <c r="I86" i="9" s="1"/>
  <c r="N86" i="9"/>
  <c r="J87" i="9"/>
  <c r="I87" i="9" s="1"/>
  <c r="N87" i="9"/>
  <c r="J88" i="9"/>
  <c r="I88" i="9" s="1"/>
  <c r="N88" i="9"/>
  <c r="J83" i="9"/>
  <c r="I83" i="9" s="1"/>
  <c r="N83" i="9"/>
  <c r="J84" i="9"/>
  <c r="I84" i="9" s="1"/>
  <c r="N84" i="9"/>
  <c r="J79" i="9"/>
  <c r="I79" i="9" s="1"/>
  <c r="N79" i="9"/>
  <c r="J80" i="9"/>
  <c r="I80" i="9" s="1"/>
  <c r="N80" i="9"/>
  <c r="J15" i="9"/>
  <c r="I15" i="9" s="1"/>
  <c r="J72" i="9"/>
  <c r="I72" i="9" s="1"/>
  <c r="N72" i="9"/>
  <c r="J73" i="9"/>
  <c r="I73" i="9" s="1"/>
  <c r="N73" i="9"/>
  <c r="J74" i="9"/>
  <c r="I74" i="9" s="1"/>
  <c r="N74" i="9"/>
  <c r="J75" i="9"/>
  <c r="I75" i="9" s="1"/>
  <c r="N75" i="9"/>
  <c r="J76" i="9"/>
  <c r="I76" i="9" s="1"/>
  <c r="N76" i="9"/>
  <c r="J64" i="9"/>
  <c r="I64" i="9" s="1"/>
  <c r="N64" i="9"/>
  <c r="J65" i="9"/>
  <c r="I65" i="9" s="1"/>
  <c r="N65" i="9"/>
  <c r="J66" i="9"/>
  <c r="I66" i="9" s="1"/>
  <c r="N66" i="9"/>
  <c r="J67" i="9"/>
  <c r="I67" i="9" s="1"/>
  <c r="N67" i="9"/>
  <c r="J56" i="9"/>
  <c r="I56" i="9" s="1"/>
  <c r="N56" i="9"/>
  <c r="J57" i="9"/>
  <c r="I57" i="9" s="1"/>
  <c r="N57" i="9"/>
  <c r="J58" i="9"/>
  <c r="I58" i="9" s="1"/>
  <c r="N58" i="9"/>
  <c r="J59" i="9"/>
  <c r="I59" i="9" s="1"/>
  <c r="N59" i="9"/>
  <c r="J49" i="9"/>
  <c r="I49" i="9" s="1"/>
  <c r="N49" i="9"/>
  <c r="J50" i="9"/>
  <c r="I50" i="9" s="1"/>
  <c r="N50" i="9"/>
  <c r="J51" i="9"/>
  <c r="I51" i="9" s="1"/>
  <c r="N51" i="9"/>
  <c r="J52" i="9"/>
  <c r="I52" i="9" s="1"/>
  <c r="N52" i="9"/>
  <c r="J44" i="9"/>
  <c r="I44" i="9" s="1"/>
  <c r="N44" i="9"/>
  <c r="J41" i="9"/>
  <c r="I41" i="9" s="1"/>
  <c r="N41" i="9"/>
  <c r="J42" i="9"/>
  <c r="I42" i="9" s="1"/>
  <c r="N42" i="9"/>
  <c r="N36" i="9"/>
  <c r="J36" i="9"/>
  <c r="I36" i="9" s="1"/>
  <c r="N35" i="9"/>
  <c r="J35" i="9"/>
  <c r="I35" i="9" s="1"/>
  <c r="N34" i="9"/>
  <c r="J34" i="9"/>
  <c r="I34" i="9" s="1"/>
  <c r="N33" i="9"/>
  <c r="J33" i="9"/>
  <c r="I33" i="9" s="1"/>
  <c r="J20" i="9"/>
  <c r="I20" i="9" s="1"/>
  <c r="N20" i="9"/>
  <c r="J21" i="9"/>
  <c r="I21" i="9" s="1"/>
  <c r="N21" i="9"/>
  <c r="J22" i="9"/>
  <c r="I22" i="9" s="1"/>
  <c r="N22" i="9"/>
  <c r="J23" i="9"/>
  <c r="I23" i="9" s="1"/>
  <c r="N23" i="9"/>
  <c r="N12" i="9"/>
  <c r="N13" i="9"/>
  <c r="N14" i="9"/>
  <c r="N15" i="9"/>
  <c r="J12" i="9"/>
  <c r="I12" i="9" s="1"/>
  <c r="J13" i="9"/>
  <c r="I13" i="9" s="1"/>
  <c r="AJ9" i="1"/>
  <c r="AJ13" i="1"/>
  <c r="AJ14" i="1"/>
  <c r="AJ16" i="1"/>
  <c r="AJ15" i="1"/>
  <c r="AJ18" i="1"/>
  <c r="AJ19" i="1"/>
  <c r="AJ24" i="1"/>
  <c r="AJ25" i="1"/>
  <c r="AJ26" i="1"/>
  <c r="AJ27" i="1"/>
  <c r="AJ28" i="1"/>
  <c r="AJ29" i="1"/>
  <c r="H33" i="1"/>
  <c r="AP15" i="1"/>
  <c r="Z15" i="1"/>
  <c r="AR15" i="1"/>
  <c r="AB15" i="1"/>
  <c r="AV15" i="1"/>
  <c r="AF15" i="1"/>
  <c r="Y13" i="1"/>
  <c r="Z13" i="1"/>
  <c r="AB13" i="1"/>
  <c r="AF13" i="1"/>
  <c r="Y14" i="1"/>
  <c r="Z14" i="1"/>
  <c r="AB14" i="1"/>
  <c r="AF14" i="1"/>
  <c r="Y15" i="1"/>
  <c r="U16" i="1"/>
  <c r="X16" i="1"/>
  <c r="Y16" i="1"/>
  <c r="AA16" i="1"/>
  <c r="AB16" i="1"/>
  <c r="AD16" i="1"/>
  <c r="AE16" i="1"/>
  <c r="X12" i="1"/>
  <c r="Z12" i="1"/>
  <c r="AA12" i="1"/>
  <c r="AB12" i="1"/>
  <c r="AD12" i="1"/>
  <c r="AF12" i="1"/>
  <c r="U12" i="1"/>
  <c r="X10" i="1"/>
  <c r="Z10" i="1"/>
  <c r="AA10" i="1"/>
  <c r="AB10" i="1"/>
  <c r="AD10" i="1"/>
  <c r="AF10" i="1"/>
  <c r="U10" i="1"/>
  <c r="AG15" i="1"/>
  <c r="AG16" i="1"/>
  <c r="AG10" i="1"/>
  <c r="AJ10" i="3"/>
  <c r="AJ11" i="3"/>
  <c r="AJ12" i="3"/>
  <c r="AJ9" i="3"/>
  <c r="L13" i="3"/>
  <c r="M13" i="3"/>
  <c r="AJ14" i="3"/>
  <c r="AJ13" i="3"/>
  <c r="AJ15" i="3"/>
  <c r="AJ16" i="3"/>
  <c r="AJ28" i="3"/>
  <c r="AJ29" i="3"/>
  <c r="AJ30" i="3"/>
  <c r="AJ31" i="3"/>
  <c r="AJ32" i="3"/>
  <c r="AJ33" i="3"/>
  <c r="H37" i="3"/>
  <c r="W11" i="3"/>
  <c r="Y11" i="3"/>
  <c r="Z11" i="3"/>
  <c r="AB11" i="3"/>
  <c r="AF11" i="3"/>
  <c r="Y12" i="3"/>
  <c r="U13" i="3"/>
  <c r="W13" i="3"/>
  <c r="X13" i="3"/>
  <c r="Y13" i="3"/>
  <c r="N13" i="3"/>
  <c r="AZ13" i="3"/>
  <c r="AP13" i="3"/>
  <c r="Z13" i="3"/>
  <c r="AA13" i="3"/>
  <c r="AB13" i="3"/>
  <c r="AD13" i="3"/>
  <c r="AE13" i="3"/>
  <c r="BA13" i="3"/>
  <c r="AV13" i="3"/>
  <c r="AF13" i="3"/>
  <c r="W10" i="3"/>
  <c r="Y10" i="3"/>
  <c r="Z10" i="3"/>
  <c r="AB10" i="3"/>
  <c r="AF10" i="3"/>
  <c r="AJ28" i="4"/>
  <c r="AJ29" i="4"/>
  <c r="AJ30" i="4"/>
  <c r="AJ31" i="4"/>
  <c r="AJ27" i="4"/>
  <c r="AJ9" i="4"/>
  <c r="L16" i="4"/>
  <c r="AJ17" i="4"/>
  <c r="AJ15" i="4"/>
  <c r="AJ16" i="4"/>
  <c r="AJ13" i="4"/>
  <c r="AJ14" i="4"/>
  <c r="AJ18" i="4"/>
  <c r="AJ19" i="4"/>
  <c r="AJ32" i="4"/>
  <c r="H40" i="4"/>
  <c r="Y15" i="4"/>
  <c r="AG15" i="4"/>
  <c r="U11" i="4"/>
  <c r="W11" i="4"/>
  <c r="X11" i="4"/>
  <c r="Y11" i="4"/>
  <c r="AA11" i="4"/>
  <c r="AB11" i="4"/>
  <c r="AD11" i="4"/>
  <c r="AE11" i="4"/>
  <c r="U12" i="4"/>
  <c r="W12" i="4"/>
  <c r="X12" i="4"/>
  <c r="Z12" i="4"/>
  <c r="AA12" i="4"/>
  <c r="AB12" i="4"/>
  <c r="AD12" i="4"/>
  <c r="AF12" i="4"/>
  <c r="W13" i="4"/>
  <c r="Y13" i="4"/>
  <c r="Z13" i="4"/>
  <c r="AB13" i="4"/>
  <c r="AF13" i="4"/>
  <c r="W14" i="4"/>
  <c r="Y14" i="4"/>
  <c r="Z14" i="4"/>
  <c r="AB14" i="4"/>
  <c r="AF14" i="4"/>
  <c r="U16" i="4"/>
  <c r="W16" i="4"/>
  <c r="X16" i="4"/>
  <c r="Y16" i="4"/>
  <c r="AA16" i="4"/>
  <c r="AB16" i="4"/>
  <c r="AD16" i="4"/>
  <c r="AE16" i="4"/>
  <c r="W10" i="4"/>
  <c r="X10" i="4"/>
  <c r="Z10" i="4"/>
  <c r="AA10" i="4"/>
  <c r="AB10" i="4"/>
  <c r="AD10" i="4"/>
  <c r="AF10" i="4"/>
  <c r="U10" i="4"/>
  <c r="BE52" i="5"/>
  <c r="AK49" i="4" s="1"/>
  <c r="BE53" i="5"/>
  <c r="AK50" i="4" s="1"/>
  <c r="BE55" i="5"/>
  <c r="AK52" i="4" s="1"/>
  <c r="W9" i="5"/>
  <c r="X9" i="5"/>
  <c r="Y9" i="5"/>
  <c r="Z9" i="5"/>
  <c r="AA9" i="5"/>
  <c r="AB9" i="5"/>
  <c r="AD9" i="5"/>
  <c r="AE9" i="5"/>
  <c r="U9" i="5"/>
  <c r="N109" i="9"/>
  <c r="N144" i="9"/>
  <c r="N69" i="9"/>
  <c r="K15" i="1"/>
  <c r="K12" i="3"/>
  <c r="K15" i="4"/>
  <c r="J71" i="9"/>
  <c r="I71" i="9" s="1"/>
  <c r="J70" i="9"/>
  <c r="I70" i="9" s="1"/>
  <c r="N71" i="9"/>
  <c r="N70" i="9"/>
  <c r="K15" i="5"/>
  <c r="N103" i="9"/>
  <c r="N60" i="9"/>
  <c r="N61" i="9"/>
  <c r="J61" i="9"/>
  <c r="I61" i="9" s="1"/>
  <c r="J62" i="9"/>
  <c r="I62" i="9" s="1"/>
  <c r="N62" i="9"/>
  <c r="N47" i="9"/>
  <c r="J47" i="9"/>
  <c r="I47" i="9" s="1"/>
  <c r="J43" i="9"/>
  <c r="I43" i="9" s="1"/>
  <c r="J39" i="9"/>
  <c r="I39" i="9" s="1"/>
  <c r="N43" i="9"/>
  <c r="N39" i="9"/>
  <c r="N18" i="9"/>
  <c r="J18" i="9"/>
  <c r="I18" i="9" s="1"/>
  <c r="J14" i="9"/>
  <c r="I14" i="9" s="1"/>
  <c r="J10" i="9"/>
  <c r="I10" i="9" s="1"/>
  <c r="N10" i="9"/>
  <c r="N31" i="9"/>
  <c r="J31" i="9"/>
  <c r="I31" i="9" s="1"/>
  <c r="BE70" i="3"/>
  <c r="BE56" i="1"/>
  <c r="BE66" i="3"/>
  <c r="O37" i="4"/>
  <c r="J138" i="9"/>
  <c r="I138" i="9" s="1"/>
  <c r="J139" i="9"/>
  <c r="I139" i="9" s="1"/>
  <c r="J95" i="9"/>
  <c r="I95" i="9" s="1"/>
  <c r="J63" i="9"/>
  <c r="I63" i="9" s="1"/>
  <c r="J55" i="9"/>
  <c r="I55" i="9" s="1"/>
  <c r="J54" i="9"/>
  <c r="I54" i="9" s="1"/>
  <c r="J48" i="9"/>
  <c r="I48" i="9" s="1"/>
  <c r="J46" i="9"/>
  <c r="I46" i="9" s="1"/>
  <c r="J40" i="9"/>
  <c r="I40" i="9" s="1"/>
  <c r="J32" i="9"/>
  <c r="I32" i="9" s="1"/>
  <c r="J25" i="9"/>
  <c r="I25" i="9" s="1"/>
  <c r="J27" i="9"/>
  <c r="I27" i="9" s="1"/>
  <c r="J28" i="9"/>
  <c r="I28" i="9" s="1"/>
  <c r="J30" i="9"/>
  <c r="I30" i="9" s="1"/>
  <c r="J19" i="9"/>
  <c r="I19" i="9" s="1"/>
  <c r="J17" i="9"/>
  <c r="I17" i="9" s="1"/>
  <c r="N153" i="9"/>
  <c r="N154" i="9"/>
  <c r="N155" i="9"/>
  <c r="N156" i="9"/>
  <c r="N157" i="9"/>
  <c r="N158" i="9"/>
  <c r="N159" i="9"/>
  <c r="N163" i="9"/>
  <c r="N150" i="9"/>
  <c r="N135" i="9"/>
  <c r="N136" i="9"/>
  <c r="N137" i="9"/>
  <c r="N138" i="9"/>
  <c r="N139" i="9"/>
  <c r="N140" i="9"/>
  <c r="N134" i="9"/>
  <c r="N131" i="9"/>
  <c r="N126" i="9"/>
  <c r="N127" i="9"/>
  <c r="N128" i="9"/>
  <c r="N129" i="9"/>
  <c r="N130" i="9"/>
  <c r="N125" i="9"/>
  <c r="N122" i="9"/>
  <c r="N116" i="9"/>
  <c r="N115" i="9"/>
  <c r="N111" i="9"/>
  <c r="N108" i="9"/>
  <c r="N110" i="9"/>
  <c r="N107" i="9"/>
  <c r="N100" i="9"/>
  <c r="N92" i="9"/>
  <c r="N95" i="9"/>
  <c r="N96" i="9"/>
  <c r="N89" i="9"/>
  <c r="N85" i="9"/>
  <c r="N82" i="9"/>
  <c r="N81" i="9"/>
  <c r="N78" i="9"/>
  <c r="N68" i="9"/>
  <c r="N63" i="9"/>
  <c r="N55" i="9"/>
  <c r="N53" i="9"/>
  <c r="N54" i="9"/>
  <c r="N48" i="9"/>
  <c r="N45" i="9"/>
  <c r="N46" i="9"/>
  <c r="N40" i="9"/>
  <c r="N37" i="9"/>
  <c r="N38" i="9"/>
  <c r="N32" i="9"/>
  <c r="N24" i="9"/>
  <c r="N25" i="9"/>
  <c r="N26" i="9"/>
  <c r="N27" i="9"/>
  <c r="N28" i="9"/>
  <c r="N29" i="9"/>
  <c r="N30" i="9"/>
  <c r="N19" i="9"/>
  <c r="N17" i="9"/>
  <c r="N16" i="9"/>
  <c r="AG12" i="1"/>
  <c r="AG13" i="3"/>
  <c r="AG12" i="4"/>
  <c r="AG11" i="4"/>
  <c r="AG10" i="4"/>
  <c r="AG16" i="4"/>
  <c r="O23" i="3"/>
  <c r="C14" i="1"/>
  <c r="O12" i="1"/>
  <c r="O10" i="1"/>
  <c r="BI22" i="1"/>
  <c r="BI21" i="1"/>
  <c r="BI20" i="1"/>
  <c r="BI19" i="1"/>
  <c r="C16" i="4"/>
  <c r="BG24" i="4"/>
  <c r="BG23" i="4"/>
  <c r="BG22" i="4"/>
  <c r="BG21" i="4"/>
  <c r="O35" i="3"/>
  <c r="O24" i="3"/>
  <c r="O22" i="3"/>
  <c r="O21" i="3"/>
  <c r="O20" i="3"/>
  <c r="BI26" i="3"/>
  <c r="BI25" i="3"/>
  <c r="BI24" i="3"/>
  <c r="BI23" i="3"/>
  <c r="C18" i="3"/>
  <c r="G26" i="3"/>
  <c r="G25" i="3"/>
  <c r="G24" i="3"/>
  <c r="G23" i="3"/>
  <c r="G22" i="3"/>
  <c r="I158" i="9"/>
  <c r="BK27" i="5"/>
  <c r="BK28" i="5"/>
  <c r="BK29" i="5"/>
  <c r="BK30" i="5"/>
  <c r="C22" i="5"/>
  <c r="D22" i="5" s="1"/>
  <c r="AG13" i="4"/>
  <c r="AG14" i="4"/>
  <c r="AG14" i="1"/>
  <c r="AG13" i="1"/>
  <c r="AG11" i="3"/>
  <c r="AG10" i="3"/>
  <c r="BG20" i="4"/>
  <c r="BI22" i="3"/>
  <c r="C32" i="3"/>
  <c r="C24" i="1"/>
  <c r="E24" i="1"/>
  <c r="C28" i="1"/>
  <c r="C30" i="4"/>
  <c r="C26" i="4"/>
  <c r="E26" i="4"/>
  <c r="C28" i="3"/>
  <c r="E28" i="3"/>
  <c r="O16" i="1"/>
  <c r="O12" i="4"/>
  <c r="O16" i="4"/>
  <c r="O13" i="3"/>
  <c r="O10" i="4"/>
  <c r="O11" i="4"/>
  <c r="J9" i="9"/>
  <c r="I9" i="9" s="1"/>
  <c r="N9" i="9"/>
  <c r="N8" i="9"/>
  <c r="N11" i="9"/>
  <c r="J11" i="9"/>
  <c r="I11" i="9" s="1"/>
  <c r="AK48" i="4" l="1"/>
  <c r="AK47" i="4"/>
  <c r="AH25" i="4" s="1"/>
  <c r="BE54" i="1"/>
  <c r="BE68" i="3"/>
  <c r="BE67" i="3"/>
  <c r="BE69" i="3"/>
  <c r="BE57" i="1"/>
  <c r="AK53" i="4"/>
  <c r="R16" i="4" s="1"/>
  <c r="AK51" i="4"/>
  <c r="AH10" i="4" s="1"/>
  <c r="O33" i="5"/>
  <c r="F29" i="5"/>
  <c r="H29" i="5" s="1"/>
  <c r="R31" i="5"/>
  <c r="AJ13" i="5"/>
  <c r="N13" i="5"/>
  <c r="AX13" i="5"/>
  <c r="N11" i="5"/>
  <c r="AX11" i="5"/>
  <c r="N10" i="5"/>
  <c r="F26" i="5"/>
  <c r="F28" i="5"/>
  <c r="F30" i="5"/>
  <c r="L14" i="5"/>
  <c r="AJ35" i="5"/>
  <c r="AX10" i="5"/>
  <c r="F27" i="5"/>
  <c r="L15" i="5"/>
  <c r="R30" i="5"/>
  <c r="AJ9" i="5"/>
  <c r="O39" i="5"/>
  <c r="O40" i="5" s="1"/>
  <c r="R40" i="5" s="1"/>
  <c r="O9" i="5"/>
  <c r="R9" i="5" s="1"/>
  <c r="E26" i="5"/>
  <c r="H43" i="10"/>
  <c r="AX12" i="10"/>
  <c r="AX29" i="10" s="1"/>
  <c r="AX30" i="10"/>
  <c r="AW13" i="10"/>
  <c r="O28" i="10"/>
  <c r="R28" i="10" s="1"/>
  <c r="O27" i="10"/>
  <c r="R27" i="10" s="1"/>
  <c r="BM24" i="10"/>
  <c r="C32" i="10" s="1"/>
  <c r="AJ44" i="10"/>
  <c r="AX17" i="10"/>
  <c r="AX34" i="10" s="1"/>
  <c r="AM45" i="10"/>
  <c r="AJ15" i="10"/>
  <c r="H26" i="10"/>
  <c r="AX28" i="10"/>
  <c r="R31" i="10"/>
  <c r="AX31" i="10"/>
  <c r="AW14" i="10"/>
  <c r="AW31" i="10" s="1"/>
  <c r="AM42" i="10"/>
  <c r="H40" i="10"/>
  <c r="N11" i="10"/>
  <c r="BB11" i="10" s="1"/>
  <c r="L18" i="10"/>
  <c r="F41" i="10"/>
  <c r="AZ13" i="10"/>
  <c r="AZ30" i="10" s="1"/>
  <c r="AO30" i="10" s="1"/>
  <c r="Y30" i="10" s="1"/>
  <c r="AW16" i="10"/>
  <c r="AW33" i="10" s="1"/>
  <c r="AW30" i="10"/>
  <c r="AU13" i="10"/>
  <c r="AE13" i="10" s="1"/>
  <c r="O41" i="10"/>
  <c r="O42" i="10" s="1"/>
  <c r="R42" i="10" s="1"/>
  <c r="AJ9" i="10"/>
  <c r="O9" i="10"/>
  <c r="L10" i="10"/>
  <c r="O35" i="10"/>
  <c r="R35" i="10" s="1"/>
  <c r="AJ19" i="10"/>
  <c r="AH20" i="3"/>
  <c r="BE72" i="3"/>
  <c r="R36" i="4"/>
  <c r="BE51" i="1"/>
  <c r="AH27" i="1" s="1"/>
  <c r="BE53" i="1"/>
  <c r="AH13" i="4"/>
  <c r="BE58" i="1"/>
  <c r="AH10" i="1" s="1"/>
  <c r="AH10" i="3"/>
  <c r="AH23" i="4"/>
  <c r="K19" i="10"/>
  <c r="AX20" i="10"/>
  <c r="AX37" i="10" s="1"/>
  <c r="K20" i="10"/>
  <c r="T20" i="10"/>
  <c r="T19" i="10"/>
  <c r="BA20" i="10"/>
  <c r="AZ20" i="10" s="1"/>
  <c r="AZ37" i="10" s="1"/>
  <c r="AX36" i="10"/>
  <c r="AW19" i="10"/>
  <c r="C47" i="10"/>
  <c r="H39" i="10"/>
  <c r="AM41" i="10"/>
  <c r="AZ19" i="10"/>
  <c r="AW20" i="10"/>
  <c r="AW37" i="10" s="1"/>
  <c r="N19" i="10"/>
  <c r="AJ21" i="10"/>
  <c r="AJ22" i="10"/>
  <c r="R23" i="5"/>
  <c r="BG7" i="1"/>
  <c r="R15" i="1" s="1"/>
  <c r="BB28" i="4"/>
  <c r="AH28" i="4" s="1"/>
  <c r="AH24" i="4"/>
  <c r="AH11" i="4"/>
  <c r="R11" i="4"/>
  <c r="R30" i="4"/>
  <c r="R33" i="5"/>
  <c r="R24" i="1"/>
  <c r="R25" i="3"/>
  <c r="R25" i="4"/>
  <c r="R24" i="4"/>
  <c r="R43" i="10"/>
  <c r="R41" i="5"/>
  <c r="R28" i="5"/>
  <c r="R32" i="10"/>
  <c r="R25" i="5"/>
  <c r="R29" i="10"/>
  <c r="R38" i="4"/>
  <c r="R24" i="5"/>
  <c r="R24" i="3"/>
  <c r="R29" i="4"/>
  <c r="R26" i="3"/>
  <c r="R25" i="1"/>
  <c r="R32" i="4"/>
  <c r="R34" i="5"/>
  <c r="R34" i="10"/>
  <c r="R32" i="5"/>
  <c r="R44" i="10"/>
  <c r="R43" i="5"/>
  <c r="R21" i="5"/>
  <c r="R25" i="10"/>
  <c r="R14" i="4"/>
  <c r="R11" i="3"/>
  <c r="R27" i="4"/>
  <c r="I144" i="9"/>
  <c r="R9" i="4"/>
  <c r="R9" i="1"/>
  <c r="R9" i="10"/>
  <c r="R27" i="5"/>
  <c r="R9" i="3"/>
  <c r="R31" i="3"/>
  <c r="R30" i="1"/>
  <c r="R29" i="3"/>
  <c r="R39" i="10"/>
  <c r="R28" i="1"/>
  <c r="R37" i="5"/>
  <c r="R14" i="1"/>
  <c r="AH27" i="4"/>
  <c r="AH11" i="3"/>
  <c r="AH21" i="3"/>
  <c r="AH14" i="4"/>
  <c r="R26" i="10"/>
  <c r="R22" i="5"/>
  <c r="R23" i="3"/>
  <c r="R28" i="4"/>
  <c r="BC28" i="1"/>
  <c r="AH28" i="1" s="1"/>
  <c r="BC12" i="3"/>
  <c r="BC22" i="3"/>
  <c r="BG6" i="1"/>
  <c r="BG5" i="4"/>
  <c r="BC15" i="4"/>
  <c r="BC28" i="4"/>
  <c r="AH12" i="4"/>
  <c r="AH12" i="1"/>
  <c r="R12" i="4"/>
  <c r="R30" i="10"/>
  <c r="R26" i="5"/>
  <c r="AH29" i="4"/>
  <c r="AH23" i="3"/>
  <c r="R13" i="3"/>
  <c r="AH13" i="3"/>
  <c r="AH16" i="4"/>
  <c r="AH29" i="1"/>
  <c r="R33" i="10"/>
  <c r="R29" i="5"/>
  <c r="BB28" i="1"/>
  <c r="BG6" i="4"/>
  <c r="R15" i="4" s="1"/>
  <c r="BB12" i="3"/>
  <c r="AH12" i="3" s="1"/>
  <c r="BB15" i="4"/>
  <c r="AH15" i="4" s="1"/>
  <c r="BG5" i="3"/>
  <c r="R12" i="3" s="1"/>
  <c r="BB22" i="3"/>
  <c r="AH22" i="3" s="1"/>
  <c r="R10" i="1"/>
  <c r="R13" i="4"/>
  <c r="R10" i="3"/>
  <c r="AH13" i="1"/>
  <c r="AH26" i="4"/>
  <c r="BG4" i="3"/>
  <c r="R16" i="1"/>
  <c r="R12" i="1"/>
  <c r="R31" i="1"/>
  <c r="R32" i="3"/>
  <c r="R37" i="4"/>
  <c r="R38" i="5"/>
  <c r="R29" i="1"/>
  <c r="R40" i="10"/>
  <c r="R35" i="4"/>
  <c r="R30" i="3"/>
  <c r="R36" i="5"/>
  <c r="R27" i="1"/>
  <c r="R28" i="3"/>
  <c r="R38" i="10"/>
  <c r="H28" i="10"/>
  <c r="AJ45" i="10"/>
  <c r="AW17" i="10"/>
  <c r="O36" i="10"/>
  <c r="R36" i="10" s="1"/>
  <c r="AX15" i="10"/>
  <c r="N17" i="10"/>
  <c r="AJ43" i="10"/>
  <c r="BB15" i="1" l="1"/>
  <c r="AH15" i="1" s="1"/>
  <c r="AH25" i="1"/>
  <c r="AH14" i="1"/>
  <c r="BC15" i="1"/>
  <c r="R10" i="4"/>
  <c r="R17" i="4" s="1"/>
  <c r="AW11" i="5"/>
  <c r="AU11" i="5" s="1"/>
  <c r="AE11" i="5" s="1"/>
  <c r="R39" i="5"/>
  <c r="AX22" i="5"/>
  <c r="H28" i="5"/>
  <c r="AJ34" i="5"/>
  <c r="AX25" i="5"/>
  <c r="AX15" i="5"/>
  <c r="AJ15" i="5"/>
  <c r="AJ16" i="5"/>
  <c r="N15" i="5"/>
  <c r="AJ14" i="5"/>
  <c r="N14" i="5"/>
  <c r="AX14" i="5"/>
  <c r="AW10" i="5"/>
  <c r="AW13" i="5"/>
  <c r="AW23" i="5"/>
  <c r="AO11" i="5"/>
  <c r="Y11" i="5" s="1"/>
  <c r="H27" i="5"/>
  <c r="AJ33" i="5"/>
  <c r="H30" i="5"/>
  <c r="AJ36" i="5"/>
  <c r="AX23" i="5"/>
  <c r="AV21" i="5"/>
  <c r="AF21" i="5" s="1"/>
  <c r="AV9" i="5"/>
  <c r="AF9" i="5" s="1"/>
  <c r="BK26" i="5"/>
  <c r="O35" i="5"/>
  <c r="R35" i="5" s="1"/>
  <c r="R45" i="5" s="1"/>
  <c r="H26" i="5"/>
  <c r="AJ32" i="5"/>
  <c r="AW12" i="10"/>
  <c r="AG30" i="10"/>
  <c r="AH30" i="10"/>
  <c r="O13" i="10"/>
  <c r="R13" i="10" s="1"/>
  <c r="AO13" i="10"/>
  <c r="Y13" i="10" s="1"/>
  <c r="O37" i="10"/>
  <c r="R37" i="10" s="1"/>
  <c r="H24" i="10"/>
  <c r="H29" i="10" s="1"/>
  <c r="C30" i="10"/>
  <c r="D30" i="10" s="1"/>
  <c r="AJ41" i="10"/>
  <c r="AJ46" i="10" s="1"/>
  <c r="R41" i="10"/>
  <c r="R46" i="10" s="1"/>
  <c r="AM19" i="10"/>
  <c r="BA37" i="10"/>
  <c r="AX18" i="10"/>
  <c r="AX35" i="10" s="1"/>
  <c r="AJ18" i="10"/>
  <c r="AU11" i="10"/>
  <c r="AE11" i="10" s="1"/>
  <c r="BB28" i="10"/>
  <c r="AU28" i="10" s="1"/>
  <c r="AE28" i="10" s="1"/>
  <c r="AM43" i="10"/>
  <c r="AM46" i="10" s="1"/>
  <c r="H41" i="10"/>
  <c r="H44" i="10" s="1"/>
  <c r="AG13" i="10"/>
  <c r="AH13" i="10"/>
  <c r="O10" i="10"/>
  <c r="AJ10" i="10"/>
  <c r="AJ23" i="10" s="1"/>
  <c r="AV26" i="10"/>
  <c r="AF26" i="10" s="1"/>
  <c r="AV9" i="10"/>
  <c r="AF9" i="10" s="1"/>
  <c r="AL36" i="10"/>
  <c r="AH26" i="1"/>
  <c r="R13" i="1"/>
  <c r="R17" i="1" s="1"/>
  <c r="AN19" i="10"/>
  <c r="AP19" i="10"/>
  <c r="AZ36" i="10"/>
  <c r="AM36" i="10" s="1"/>
  <c r="AR19" i="10"/>
  <c r="BC19" i="10"/>
  <c r="AV19" i="10" s="1"/>
  <c r="AF19" i="10" s="1"/>
  <c r="BB19" i="10"/>
  <c r="AT19" i="10"/>
  <c r="AO36" i="10"/>
  <c r="AQ19" i="10"/>
  <c r="AK19" i="10"/>
  <c r="AW36" i="10"/>
  <c r="O19" i="10"/>
  <c r="BC36" i="10"/>
  <c r="AR36" i="10"/>
  <c r="R36" i="3"/>
  <c r="R39" i="4"/>
  <c r="R32" i="1"/>
  <c r="AH26" i="10"/>
  <c r="AH9" i="10"/>
  <c r="AH9" i="3"/>
  <c r="AH14" i="3" s="1"/>
  <c r="AH19" i="3"/>
  <c r="AH24" i="3" s="1"/>
  <c r="R14" i="3"/>
  <c r="AH9" i="5"/>
  <c r="AH21" i="5"/>
  <c r="AH22" i="1"/>
  <c r="AH9" i="1"/>
  <c r="AH9" i="4"/>
  <c r="AH17" i="4" s="1"/>
  <c r="AH22" i="4"/>
  <c r="AH30" i="4" s="1"/>
  <c r="AW15" i="10"/>
  <c r="O15" i="10" s="1"/>
  <c r="R15" i="10" s="1"/>
  <c r="AX32" i="10"/>
  <c r="AW34" i="10"/>
  <c r="AH17" i="1" l="1"/>
  <c r="AH33" i="1" s="1"/>
  <c r="R34" i="1"/>
  <c r="O11" i="5"/>
  <c r="R11" i="5" s="1"/>
  <c r="AW14" i="5"/>
  <c r="AW26" i="5" s="1"/>
  <c r="R38" i="3"/>
  <c r="AJ17" i="5"/>
  <c r="AJ18" i="5" s="1"/>
  <c r="AK14" i="5"/>
  <c r="U14" i="5" s="1"/>
  <c r="AQ14" i="5"/>
  <c r="AA14" i="5" s="1"/>
  <c r="AU14" i="5"/>
  <c r="AE14" i="5" s="1"/>
  <c r="AT14" i="5"/>
  <c r="AD14" i="5" s="1"/>
  <c r="AJ37" i="5"/>
  <c r="AG11" i="5"/>
  <c r="AH11" i="5"/>
  <c r="AN13" i="5"/>
  <c r="X13" i="5" s="1"/>
  <c r="AT13" i="5"/>
  <c r="AD13" i="5" s="1"/>
  <c r="AQ13" i="5"/>
  <c r="AA13" i="5" s="1"/>
  <c r="AW25" i="5"/>
  <c r="AK13" i="5"/>
  <c r="U13" i="5" s="1"/>
  <c r="AU13" i="5"/>
  <c r="AE13" i="5" s="1"/>
  <c r="AX27" i="5"/>
  <c r="H31" i="5"/>
  <c r="AO23" i="5"/>
  <c r="Y23" i="5" s="1"/>
  <c r="AU23" i="5"/>
  <c r="AE23" i="5" s="1"/>
  <c r="AW22" i="5"/>
  <c r="AU10" i="5"/>
  <c r="AE10" i="5" s="1"/>
  <c r="AO10" i="5"/>
  <c r="Y10" i="5" s="1"/>
  <c r="AW15" i="5"/>
  <c r="AZ15" i="5"/>
  <c r="O13" i="5"/>
  <c r="R13" i="5" s="1"/>
  <c r="O10" i="5"/>
  <c r="R10" i="5" s="1"/>
  <c r="AX26" i="5"/>
  <c r="O14" i="5"/>
  <c r="R14" i="5" s="1"/>
  <c r="C32" i="5"/>
  <c r="D32" i="5" s="1"/>
  <c r="C36" i="5"/>
  <c r="AW29" i="10"/>
  <c r="AZ11" i="10"/>
  <c r="AP36" i="10"/>
  <c r="AV36" i="10"/>
  <c r="AF36" i="10" s="1"/>
  <c r="AJ24" i="10"/>
  <c r="AW18" i="10"/>
  <c r="AQ17" i="10" s="1"/>
  <c r="H46" i="10"/>
  <c r="H31" i="10"/>
  <c r="AV10" i="10"/>
  <c r="AF10" i="10" s="1"/>
  <c r="AV27" i="10"/>
  <c r="AF27" i="10" s="1"/>
  <c r="R10" i="10"/>
  <c r="X19" i="10"/>
  <c r="AH33" i="4"/>
  <c r="AH30" i="1"/>
  <c r="R41" i="4"/>
  <c r="W36" i="10"/>
  <c r="AB36" i="10"/>
  <c r="AB19" i="10"/>
  <c r="Z36" i="10"/>
  <c r="W19" i="10"/>
  <c r="Z19" i="10"/>
  <c r="BB36" i="10"/>
  <c r="AS36" i="10"/>
  <c r="BN6" i="10"/>
  <c r="BN7" i="10"/>
  <c r="AD19" i="10"/>
  <c r="U19" i="10"/>
  <c r="AU19" i="10"/>
  <c r="AE19" i="10" s="1"/>
  <c r="AA19" i="10"/>
  <c r="AH27" i="3"/>
  <c r="AN15" i="10"/>
  <c r="AT15" i="10"/>
  <c r="AW32" i="10"/>
  <c r="AZ15" i="10"/>
  <c r="AK15" i="10"/>
  <c r="AQ15" i="10"/>
  <c r="AN14" i="5" l="1"/>
  <c r="X14" i="5" s="1"/>
  <c r="H45" i="5"/>
  <c r="AZ27" i="5"/>
  <c r="AR15" i="5"/>
  <c r="AB15" i="5" s="1"/>
  <c r="AP15" i="5"/>
  <c r="Z15" i="5" s="1"/>
  <c r="AM15" i="5"/>
  <c r="W15" i="5" s="1"/>
  <c r="AV15" i="5"/>
  <c r="AF15" i="5" s="1"/>
  <c r="AU22" i="5"/>
  <c r="AE22" i="5" s="1"/>
  <c r="AO22" i="5"/>
  <c r="Y22" i="5" s="1"/>
  <c r="AG13" i="5"/>
  <c r="AH13" i="5"/>
  <c r="AT15" i="5"/>
  <c r="AD15" i="5" s="1"/>
  <c r="AK15" i="5"/>
  <c r="U15" i="5" s="1"/>
  <c r="AU15" i="5"/>
  <c r="AE15" i="5" s="1"/>
  <c r="AW27" i="5"/>
  <c r="AN15" i="5"/>
  <c r="X15" i="5" s="1"/>
  <c r="AQ15" i="5"/>
  <c r="AA15" i="5" s="1"/>
  <c r="AL25" i="5"/>
  <c r="V25" i="5" s="1"/>
  <c r="AS25" i="5"/>
  <c r="AC25" i="5" s="1"/>
  <c r="AU25" i="5"/>
  <c r="AE25" i="5" s="1"/>
  <c r="AO25" i="5"/>
  <c r="Y25" i="5" s="1"/>
  <c r="AG10" i="5"/>
  <c r="AH10" i="5"/>
  <c r="AG23" i="5"/>
  <c r="AH23" i="5"/>
  <c r="O15" i="5"/>
  <c r="AO26" i="5"/>
  <c r="Y26" i="5" s="1"/>
  <c r="AU26" i="5"/>
  <c r="AE26" i="5" s="1"/>
  <c r="AL26" i="5"/>
  <c r="V26" i="5" s="1"/>
  <c r="AS26" i="5"/>
  <c r="AC26" i="5" s="1"/>
  <c r="AG14" i="5"/>
  <c r="AH14" i="5"/>
  <c r="AO11" i="10"/>
  <c r="Y11" i="10" s="1"/>
  <c r="AZ28" i="10"/>
  <c r="AO28" i="10" s="1"/>
  <c r="Y28" i="10" s="1"/>
  <c r="AT17" i="10"/>
  <c r="AN17" i="10"/>
  <c r="AW35" i="10"/>
  <c r="AK17" i="10"/>
  <c r="O17" i="10"/>
  <c r="R17" i="10" s="1"/>
  <c r="AZ17" i="10"/>
  <c r="BE36" i="10"/>
  <c r="AH10" i="10"/>
  <c r="AH27" i="10"/>
  <c r="R19" i="10"/>
  <c r="BE19" i="10"/>
  <c r="BD19" i="10"/>
  <c r="AG19" i="10"/>
  <c r="V36" i="10"/>
  <c r="AC36" i="10"/>
  <c r="AU36" i="10"/>
  <c r="AE36" i="10" s="1"/>
  <c r="Y36" i="10"/>
  <c r="U15" i="10"/>
  <c r="AA15" i="10"/>
  <c r="X15" i="10"/>
  <c r="AD15" i="10"/>
  <c r="AU17" i="10"/>
  <c r="AE17" i="10" s="1"/>
  <c r="AU15" i="10"/>
  <c r="AE15" i="10" s="1"/>
  <c r="AO32" i="10"/>
  <c r="AZ32" i="10"/>
  <c r="AL32" i="10"/>
  <c r="AS32" i="10"/>
  <c r="BC15" i="5" l="1"/>
  <c r="AG26" i="5"/>
  <c r="AH26" i="5"/>
  <c r="AG25" i="5"/>
  <c r="AH25" i="5"/>
  <c r="AG15" i="5"/>
  <c r="BB15" i="5"/>
  <c r="AH15" i="5" s="1"/>
  <c r="AH16" i="5" s="1"/>
  <c r="AH31" i="5" s="1"/>
  <c r="AG22" i="5"/>
  <c r="AH22" i="5"/>
  <c r="BL6" i="5"/>
  <c r="BL7" i="5"/>
  <c r="R15" i="5" s="1"/>
  <c r="R16" i="5" s="1"/>
  <c r="R46" i="5" s="1"/>
  <c r="AL27" i="5"/>
  <c r="V27" i="5" s="1"/>
  <c r="AU27" i="5"/>
  <c r="AE27" i="5" s="1"/>
  <c r="AS27" i="5"/>
  <c r="AC27" i="5" s="1"/>
  <c r="AO27" i="5"/>
  <c r="Y27" i="5" s="1"/>
  <c r="AM27" i="5"/>
  <c r="W27" i="5" s="1"/>
  <c r="AP27" i="5"/>
  <c r="Z27" i="5" s="1"/>
  <c r="AV27" i="5"/>
  <c r="AF27" i="5" s="1"/>
  <c r="AR27" i="5"/>
  <c r="AB27" i="5" s="1"/>
  <c r="AG28" i="10"/>
  <c r="AH28" i="10"/>
  <c r="AH11" i="10"/>
  <c r="O11" i="10"/>
  <c r="R11" i="10" s="1"/>
  <c r="R21" i="10" s="1"/>
  <c r="R47" i="10" s="1"/>
  <c r="AG11" i="10"/>
  <c r="X17" i="10"/>
  <c r="AD17" i="10"/>
  <c r="U17" i="10"/>
  <c r="AA17" i="10"/>
  <c r="AZ34" i="10"/>
  <c r="AU34" i="10" s="1"/>
  <c r="AE34" i="10" s="1"/>
  <c r="AL34" i="10"/>
  <c r="AS34" i="10"/>
  <c r="AO34" i="10"/>
  <c r="AH19" i="10"/>
  <c r="BD36" i="10"/>
  <c r="AH36" i="10" s="1"/>
  <c r="AG36" i="10"/>
  <c r="AG15" i="10"/>
  <c r="AH15" i="10"/>
  <c r="V32" i="10"/>
  <c r="AC32" i="10"/>
  <c r="Y32" i="10"/>
  <c r="AU32" i="10"/>
  <c r="AE32" i="10" s="1"/>
  <c r="BC27" i="5" l="1"/>
  <c r="AG27" i="5"/>
  <c r="BB27" i="5"/>
  <c r="AH27" i="5" s="1"/>
  <c r="AH28" i="5" s="1"/>
  <c r="AH17" i="10"/>
  <c r="AH21" i="10" s="1"/>
  <c r="AH41" i="10" s="1"/>
  <c r="AG17" i="10"/>
  <c r="V34" i="10"/>
  <c r="AC34" i="10"/>
  <c r="Y34" i="10"/>
  <c r="AG32" i="10"/>
  <c r="AH32" i="10"/>
  <c r="AH34" i="10" l="1"/>
  <c r="AH38" i="10" s="1"/>
  <c r="AG34" i="10"/>
</calcChain>
</file>

<file path=xl/sharedStrings.xml><?xml version="1.0" encoding="utf-8"?>
<sst xmlns="http://schemas.openxmlformats.org/spreadsheetml/2006/main" count="1364" uniqueCount="499">
  <si>
    <t>наименование</t>
  </si>
  <si>
    <t>артикул</t>
  </si>
  <si>
    <t>вертикальный профиль</t>
  </si>
  <si>
    <t>рамка верхняя</t>
  </si>
  <si>
    <t>рамка нижняя</t>
  </si>
  <si>
    <t>направляющая верхняя</t>
  </si>
  <si>
    <t>накладка декоративная</t>
  </si>
  <si>
    <t>профиль "П"</t>
  </si>
  <si>
    <t>размер</t>
  </si>
  <si>
    <t>количество</t>
  </si>
  <si>
    <t>деталей</t>
  </si>
  <si>
    <t>ЛДСП, 10 мм</t>
  </si>
  <si>
    <t>ЛДСП, 8 мм</t>
  </si>
  <si>
    <t>Стекло, зеркало 4 мм</t>
  </si>
  <si>
    <t>высота перегородки:</t>
  </si>
  <si>
    <t>ширина перегородки:</t>
  </si>
  <si>
    <t>высота одной двери:</t>
  </si>
  <si>
    <t>ширина одной двери:</t>
  </si>
  <si>
    <t>ручка-рейлинг</t>
  </si>
  <si>
    <t>высота створки двери:</t>
  </si>
  <si>
    <t>ширина створки двери:</t>
  </si>
  <si>
    <t>высота двери:</t>
  </si>
  <si>
    <t>ширина двери:</t>
  </si>
  <si>
    <t>Механизм синхронного открывания</t>
  </si>
  <si>
    <t>кол-во хлыстов</t>
  </si>
  <si>
    <t>стоимость</t>
  </si>
  <si>
    <t>Ваша скидка на профиль ТМ Аристо:</t>
  </si>
  <si>
    <t>Система "4 в 1" Аристо</t>
  </si>
  <si>
    <t>Наименование</t>
  </si>
  <si>
    <t>Артикул</t>
  </si>
  <si>
    <t>Цвет</t>
  </si>
  <si>
    <t>Ед. изм.</t>
  </si>
  <si>
    <t xml:space="preserve">Вертикальный 
профиль (FUSION) </t>
  </si>
  <si>
    <t>(1 уп. - 8 шт.)</t>
  </si>
  <si>
    <t>шт.</t>
  </si>
  <si>
    <t>(1 уп. - 6 шт.)</t>
  </si>
  <si>
    <t xml:space="preserve">Венге темный </t>
  </si>
  <si>
    <t>Дуб белый</t>
  </si>
  <si>
    <t>(1 уп. - 16 шт.)</t>
  </si>
  <si>
    <t>(1 уп. - 10 шт.)</t>
  </si>
  <si>
    <t>Рамка верхняя</t>
  </si>
  <si>
    <t>Рамка нижняя</t>
  </si>
  <si>
    <t>Угловой профиль</t>
  </si>
  <si>
    <t>Комплектующие системы "4 в 1"</t>
  </si>
  <si>
    <t>Держатель ручки-рейлинг</t>
  </si>
  <si>
    <t>(1 уп. - 100 шт.)</t>
  </si>
  <si>
    <t>Доводчик для подвесной системы</t>
  </si>
  <si>
    <t>(1 уп. - 25 шт.)</t>
  </si>
  <si>
    <t>Заглушка для ручки-рейлинг</t>
  </si>
  <si>
    <t>(1 уп. - 1000 к-в.)</t>
  </si>
  <si>
    <t>комлпект</t>
  </si>
  <si>
    <t>(1 уп. - 100 к-в.)</t>
  </si>
  <si>
    <t>комплект</t>
  </si>
  <si>
    <t>Магнитная лента</t>
  </si>
  <si>
    <t>(1 уп. - 50 м.)</t>
  </si>
  <si>
    <t>Серый</t>
  </si>
  <si>
    <t>п.м.</t>
  </si>
  <si>
    <t>(1 уп. - 10 к-в.)</t>
  </si>
  <si>
    <t>Механизм распашной, шкафной</t>
  </si>
  <si>
    <t>(1 уп. - 50 к-в.)</t>
  </si>
  <si>
    <t xml:space="preserve">Ножка регулируемая </t>
  </si>
  <si>
    <t>(1 уп. - 40 к-в.)</t>
  </si>
  <si>
    <t>Ограничитель складной двери</t>
  </si>
  <si>
    <t>коричневый</t>
  </si>
  <si>
    <t xml:space="preserve">Опора верхняя, неподвижная </t>
  </si>
  <si>
    <t>(1 уп. - 150 шт.)</t>
  </si>
  <si>
    <t>Петля</t>
  </si>
  <si>
    <t>Пластина регулировочная для ролика нижнего</t>
  </si>
  <si>
    <t>Пластина регулировочная для шкафного распашного механизма</t>
  </si>
  <si>
    <t>Подвес верхней направляющей</t>
  </si>
  <si>
    <t>Комплектующие. Профили</t>
  </si>
  <si>
    <t>Ролик верхний с креплением NEW</t>
  </si>
  <si>
    <t>Ролик верхний складной системы</t>
  </si>
  <si>
    <t>Ролик нижний с площадкой</t>
  </si>
  <si>
    <t>Ручка врезная для Вертикального профиля "FUSION"</t>
  </si>
  <si>
    <t>Саморез L= 46</t>
  </si>
  <si>
    <t>(1 уп. - 5000 шт.)</t>
  </si>
  <si>
    <t>Стопор распашного механизма</t>
  </si>
  <si>
    <t>(1 уп. 500 к-в.)</t>
  </si>
  <si>
    <t>Стопор для подвесной системы</t>
  </si>
  <si>
    <t>Стопор для складной системы</t>
  </si>
  <si>
    <t>(1 уп. 400 шт.)</t>
  </si>
  <si>
    <t>Уплотнитель полиуретановый</t>
  </si>
  <si>
    <t>(1 уп. - 200 м.)</t>
  </si>
  <si>
    <t>цена 1 кв.м.</t>
  </si>
  <si>
    <t xml:space="preserve">Общая стоимость наполнения:   </t>
  </si>
  <si>
    <t>Заглушка дверная</t>
  </si>
  <si>
    <t>Саморез</t>
  </si>
  <si>
    <t>Уплотнитель П-образный 8 мм</t>
  </si>
  <si>
    <t>(1 уп. - 100 м)</t>
  </si>
  <si>
    <t>Уплотнитель резиновый 4 мм</t>
  </si>
  <si>
    <t>левое</t>
  </si>
  <si>
    <t>правое</t>
  </si>
  <si>
    <t>Опора нижняя, левая</t>
  </si>
  <si>
    <t xml:space="preserve">Опора нижняя, правая </t>
  </si>
  <si>
    <t>с однополозной направляющей</t>
  </si>
  <si>
    <t>с профилем "П" и декоративной накладкой</t>
  </si>
  <si>
    <t>на регулируемых ножках без профиля "П"</t>
  </si>
  <si>
    <t>с профилем "П" без декоративной накладки</t>
  </si>
  <si>
    <t>с профилем "П" и дек. накладкой совместно с подвесной системой</t>
  </si>
  <si>
    <t xml:space="preserve"> </t>
  </si>
  <si>
    <t>однодверная, настенная</t>
  </si>
  <si>
    <t>двухдверная, настенная</t>
  </si>
  <si>
    <t>двухдверная, в проем (шкаф-купе)</t>
  </si>
  <si>
    <t>да</t>
  </si>
  <si>
    <t>нет</t>
  </si>
  <si>
    <t>Распил хлыстов</t>
  </si>
  <si>
    <t>общая длина деталей</t>
  </si>
  <si>
    <t xml:space="preserve">Общая стоимость всей перегородки(с учетом распила):  </t>
  </si>
  <si>
    <t xml:space="preserve">Общая стоимость профилей (с учетом распила):  </t>
  </si>
  <si>
    <t>ВВОД ИСХОДНЫХ ДАННЫХ ДЛЯ РАСЧЁТА</t>
  </si>
  <si>
    <t>РЕЗУЛЬТАТ РАСЧЁТА</t>
  </si>
  <si>
    <t>последовательное открывание (перекрытие проема, откат дверей за проем)</t>
  </si>
  <si>
    <t>Количество вставок:</t>
  </si>
  <si>
    <t>Наполнение</t>
  </si>
  <si>
    <t>Материал</t>
  </si>
  <si>
    <t>Высота</t>
  </si>
  <si>
    <t>Ширина</t>
  </si>
  <si>
    <t>Вставка 1 (считается автоматически)</t>
  </si>
  <si>
    <t>Вставка 2</t>
  </si>
  <si>
    <t>Вставка 3</t>
  </si>
  <si>
    <t>Вставка 4</t>
  </si>
  <si>
    <t>Вставка 5 (низ двери)</t>
  </si>
  <si>
    <t>Не рекомендуем</t>
  </si>
  <si>
    <t>Неверно внесены высоты вставок</t>
  </si>
  <si>
    <t>Верно внесены высоты вставок</t>
  </si>
  <si>
    <t>Ширина проема</t>
  </si>
  <si>
    <t>Высота проема</t>
  </si>
  <si>
    <t>Цвет профиля</t>
  </si>
  <si>
    <t>Вариант установки</t>
  </si>
  <si>
    <t>Количество дверей</t>
  </si>
  <si>
    <t>Ручка врезная</t>
  </si>
  <si>
    <t>Укажите высоту Вставки 5 (низ двери)</t>
  </si>
  <si>
    <t>Кол-во</t>
  </si>
  <si>
    <t>Стоимость</t>
  </si>
  <si>
    <t>Шлегель</t>
  </si>
  <si>
    <t>последовательное открывание (двери в проеме, одна дверь статичная)</t>
  </si>
  <si>
    <t>Размер, м.</t>
  </si>
  <si>
    <t>Черный матовый</t>
  </si>
  <si>
    <t>Белый матовый</t>
  </si>
  <si>
    <t>Накладка декоративная</t>
  </si>
  <si>
    <t>Направляющая верхняя</t>
  </si>
  <si>
    <t>Белый глянец</t>
  </si>
  <si>
    <t xml:space="preserve">Белый </t>
  </si>
  <si>
    <t>4 в 1 Замок для ручки Fusion, для дверей в двух плоскостях</t>
  </si>
  <si>
    <t>(1 уп. - 1 шт.)</t>
  </si>
  <si>
    <t>4 в 1 Замок для ручки Fusion, для дверей в одной плоскости</t>
  </si>
  <si>
    <t xml:space="preserve"> Опора нижняя, левая</t>
  </si>
  <si>
    <t xml:space="preserve"> Опора нижняя, правая </t>
  </si>
  <si>
    <t>(1 уп. 250 шт.)</t>
  </si>
  <si>
    <t>Соединение угловое нижней направляющей</t>
  </si>
  <si>
    <t>Соединение угловое верхней направляющей</t>
  </si>
  <si>
    <t>(1 уп. - 20 шт.)</t>
  </si>
  <si>
    <t>Защелка магнитная, возвратная с подставкой</t>
  </si>
  <si>
    <t>(1 уп. - 400 шт.)</t>
  </si>
  <si>
    <t>Защелка магнитная, невозвратная с подставкой</t>
  </si>
  <si>
    <t>Прищепка для шлегеля  9*5 (нерж.)</t>
  </si>
  <si>
    <t>Уплотнитель ёлочка 4 мм</t>
  </si>
  <si>
    <t>Шлегель КНР, 
150 м.п. в бухте</t>
  </si>
  <si>
    <t>(1 уп. - 1200 м)</t>
  </si>
  <si>
    <t>с декоративной накладкой</t>
  </si>
  <si>
    <t>Матовый хром</t>
  </si>
  <si>
    <t>Профиль П</t>
  </si>
  <si>
    <t>двухдверная, в проем (совместно со стационарными перегородками)</t>
  </si>
  <si>
    <t>Элемент, скрывающий отверстия</t>
  </si>
  <si>
    <t>Ограничитель складной</t>
  </si>
  <si>
    <t>Ролик верхний с креплением</t>
  </si>
  <si>
    <t>Прищепка</t>
  </si>
  <si>
    <t>Регулировочная пластина</t>
  </si>
  <si>
    <t>Замок для дверей в одной плоскости</t>
  </si>
  <si>
    <t>Замок для дверей в двух плоскостях</t>
  </si>
  <si>
    <t>Доводчик</t>
  </si>
  <si>
    <t>Oграничитель складной двери, серый</t>
  </si>
  <si>
    <t>Фиксирующий элемент</t>
  </si>
  <si>
    <t>Защелка магнитная, возвратная</t>
  </si>
  <si>
    <t>Защелка магнитная, невозвратная</t>
  </si>
  <si>
    <t>Регулировочная пластина для нижнего ролика подвесной системы</t>
  </si>
  <si>
    <t>Регулировочная пластина для распашного механизма</t>
  </si>
  <si>
    <t>Длина ручки-рейлинг</t>
  </si>
  <si>
    <t>Открывание двери</t>
  </si>
  <si>
    <t>не рекомендуем, ширина двери должна быть от 600 мм до 1200 мм</t>
  </si>
  <si>
    <t>допустимо</t>
  </si>
  <si>
    <t>невозможно установить, ширина двери должна быть не менее 650 мм</t>
  </si>
  <si>
    <t>Заглушка торцевая вертикального профиля</t>
  </si>
  <si>
    <t>не рекомендуем, высота двери до 3200 мм</t>
  </si>
  <si>
    <t>не рекомендуем, ширина створки двери от 300 мм до 600 мм</t>
  </si>
  <si>
    <t>не рекомендуем, ширина двери должна быть от 200 мм до 700 мм</t>
  </si>
  <si>
    <t>ФУРНИТУРА ДЛЯ ВСЕЙ ПЕРЕГОРОДКИ:</t>
  </si>
  <si>
    <t>ПРОФИЛИ ДЛЯ ВСЕЙ ПЕРЕГОРОДКИ:</t>
  </si>
  <si>
    <t>трехдверная, в проем (шкаф-купе)</t>
  </si>
  <si>
    <t>Цена:</t>
  </si>
  <si>
    <t>с НДС</t>
  </si>
  <si>
    <t>без НДС</t>
  </si>
  <si>
    <t>без ндс</t>
  </si>
  <si>
    <t>с ндс 5%</t>
  </si>
  <si>
    <t>Цена, руб/шт.</t>
  </si>
  <si>
    <t>Цена, руб/шт. с учетом скидки</t>
  </si>
  <si>
    <t>четырехдверная в проем (две синхро, две статичные)</t>
  </si>
  <si>
    <t>FA0413.VP540</t>
  </si>
  <si>
    <t>FA0408.AP500</t>
  </si>
  <si>
    <t>FA0410.VP500</t>
  </si>
  <si>
    <t>FA0682.VP508</t>
  </si>
  <si>
    <t>AS0460.VP540</t>
  </si>
  <si>
    <t>FX0010.VS000</t>
  </si>
  <si>
    <t>AA0075.VP000</t>
  </si>
  <si>
    <t>AA0084.VM100</t>
  </si>
  <si>
    <t>AS0053.VP000</t>
  </si>
  <si>
    <t>FF0002.VP000</t>
  </si>
  <si>
    <t>AA0104.VM100</t>
  </si>
  <si>
    <t>AA0956.VM150</t>
  </si>
  <si>
    <t>AA0040.VP000.IN0EP.CO</t>
  </si>
  <si>
    <t>FA0418.VP540</t>
  </si>
  <si>
    <t>FP0010.VS000</t>
  </si>
  <si>
    <t>FP0020.VP000</t>
  </si>
  <si>
    <t>AS0501.VS000</t>
  </si>
  <si>
    <t>AS0502.VS000</t>
  </si>
  <si>
    <t>FA0003.VP000</t>
  </si>
  <si>
    <t>FA0004.VR000</t>
  </si>
  <si>
    <t>FP0080.VR000</t>
  </si>
  <si>
    <t>FP0011.VP000</t>
  </si>
  <si>
    <t>FF0001.VP000</t>
  </si>
  <si>
    <t>FF0003.BP000</t>
  </si>
  <si>
    <t>FF0007.VP000</t>
  </si>
  <si>
    <t>FF0009.VP000</t>
  </si>
  <si>
    <t>FF0005.VP000</t>
  </si>
  <si>
    <t>FA0646.VP000</t>
  </si>
  <si>
    <t>AS0107.VP540</t>
  </si>
  <si>
    <t>FH0043.VP000</t>
  </si>
  <si>
    <t>Уголок заглушки направляющей</t>
  </si>
  <si>
    <t>Уголок заглушки направляющей 4ПДВ</t>
  </si>
  <si>
    <t>FH0010.CR000</t>
  </si>
  <si>
    <t>FH0030.VS000</t>
  </si>
  <si>
    <t>FH0050.BR000</t>
  </si>
  <si>
    <t>FH0020.VP000</t>
  </si>
  <si>
    <t>FH0090.BS000</t>
  </si>
  <si>
    <t>FH0070.VP000</t>
  </si>
  <si>
    <t>FH0171.VP000</t>
  </si>
  <si>
    <t>Саморез 6×30</t>
  </si>
  <si>
    <t>Саморез 6×40</t>
  </si>
  <si>
    <t>FH0031.VP000</t>
  </si>
  <si>
    <t>FH0101.VP000</t>
  </si>
  <si>
    <t>FH0102.VP000</t>
  </si>
  <si>
    <t>FF0004.VP000</t>
  </si>
  <si>
    <t>Серебро матовое</t>
  </si>
  <si>
    <t>Слоновая кость</t>
  </si>
  <si>
    <t xml:space="preserve"> медь античная*</t>
  </si>
  <si>
    <t>сталь воронёная*</t>
  </si>
  <si>
    <t>медь античная*</t>
  </si>
  <si>
    <t>Механизм поворотный регулируемый 4В1</t>
  </si>
  <si>
    <t>Механизм поворотный регулируемый</t>
  </si>
  <si>
    <t>Механизм распашной</t>
  </si>
  <si>
    <t>Механизм регулируемый</t>
  </si>
  <si>
    <t>Выберите механизм</t>
  </si>
  <si>
    <t>FP0000.VS000</t>
  </si>
  <si>
    <t>Выберите тип средней рамки</t>
  </si>
  <si>
    <t>AS0640.VP540</t>
  </si>
  <si>
    <t>Рамка средняя Стандарт</t>
  </si>
  <si>
    <t>Рамка средняя 4в1</t>
  </si>
  <si>
    <t>AA0996.VM100</t>
  </si>
  <si>
    <t>Шлегель, 9х9</t>
  </si>
  <si>
    <t>(1 уп. - 100 м.)</t>
  </si>
  <si>
    <t>FH0023.VS000</t>
  </si>
  <si>
    <t>Механизм для мультипоследовательного синхр. открывания 4ПДВ</t>
  </si>
  <si>
    <t>Механизм для мультипоследовательного синхр. открывания</t>
  </si>
  <si>
    <t>Фиксаторы мультипоследовательной синхр. открывания</t>
  </si>
  <si>
    <t>FH0024.VS000</t>
  </si>
  <si>
    <t>Фиксаторы мультипоследовательной синхр. открывания 4ПДВ</t>
  </si>
  <si>
    <t>Механизм послед. открывания 4ПДВ, левый/правый</t>
  </si>
  <si>
    <t>Механизм послед. открывания, левый/правый</t>
  </si>
  <si>
    <t>FH0060.VR000</t>
  </si>
  <si>
    <t>FA0715.VP500</t>
  </si>
  <si>
    <t>FA0716.VP500</t>
  </si>
  <si>
    <t>AV0078.VM100</t>
  </si>
  <si>
    <t>AA0078.VM100</t>
  </si>
  <si>
    <t>Длина хлыста 4в1</t>
  </si>
  <si>
    <t>Декоративка 4в1</t>
  </si>
  <si>
    <t>Длина хлыста стандарт</t>
  </si>
  <si>
    <t>Цена 4в1</t>
  </si>
  <si>
    <t>Цена стандарт</t>
  </si>
  <si>
    <t>Вес двери:</t>
  </si>
  <si>
    <t>Количество дверей для последовательного открывания</t>
  </si>
  <si>
    <t>РАЗМЕРЫ ДВЕРИ:</t>
  </si>
  <si>
    <t>вес наполнения</t>
  </si>
  <si>
    <t>вес алюминия</t>
  </si>
  <si>
    <t>Алюминиевый профиль</t>
  </si>
  <si>
    <t>Комплектующие системы Стандарт</t>
  </si>
  <si>
    <t>кол-во деталей</t>
  </si>
  <si>
    <t>FA0682.VP508.SLMAN.CJ</t>
  </si>
  <si>
    <t>FA0410.VP500.SLMAN.CJ</t>
  </si>
  <si>
    <t>FA0413.VP540.SLMAN.CJ</t>
  </si>
  <si>
    <t>FA0418.VP540.SLMAN.CJ</t>
  </si>
  <si>
    <t>FA0427.AP540.SLMAN.CJ</t>
  </si>
  <si>
    <t>FA0715.VP500.SLMAN.CJ</t>
  </si>
  <si>
    <t>FA0408.AP500.SLMAN.CJ</t>
  </si>
  <si>
    <t>FA0716.VP500.SLMAN.CJ</t>
  </si>
  <si>
    <t>FA0682.VP508.WHKPP.RA</t>
  </si>
  <si>
    <t>FA0413.VP540.WHKPP.RA</t>
  </si>
  <si>
    <t>FA0418.VP540.WHMPC.CJ</t>
  </si>
  <si>
    <t>FA0427.AP540.WHKPP.RA</t>
  </si>
  <si>
    <t>FA0450.VP500.WHKPP.RA</t>
  </si>
  <si>
    <t>FA0408.AP500.WHKPP.RA</t>
  </si>
  <si>
    <t>FA0716.VP500.WHKPP.RA</t>
  </si>
  <si>
    <t>FA0682.VP508.WDRPV.RA</t>
  </si>
  <si>
    <t>FA0413.VP540.WDRPV.RA</t>
  </si>
  <si>
    <t>FA0427.AP540.WDRPV.RA</t>
  </si>
  <si>
    <t>FA0715.VP500.WDRPV.RA</t>
  </si>
  <si>
    <t>FA0408.AP500.WDRPV.RA</t>
  </si>
  <si>
    <t>FA0716.VP500.WDRPV.RA</t>
  </si>
  <si>
    <t>FA0682.VP508.OWDPV.RA</t>
  </si>
  <si>
    <t>FA0413.VP540.OWDPV.RA</t>
  </si>
  <si>
    <t>FA0427.AP540.OWDPV.RA</t>
  </si>
  <si>
    <t>FA0715.VP500.OWDPV.RA</t>
  </si>
  <si>
    <t>FA0408.AP500.OWDPV.RA</t>
  </si>
  <si>
    <t>FA0716.VP500.OWDPV.RA</t>
  </si>
  <si>
    <t>FA0682.VP508.IVMPP.RA</t>
  </si>
  <si>
    <t>FA0413.VP540.IVMPP.RA</t>
  </si>
  <si>
    <t>FA0715.VP500.IVMPP.RA</t>
  </si>
  <si>
    <t>FA0408.AP500.IVMPP.RA</t>
  </si>
  <si>
    <t>FA0716.VP500.IVMPP.RA</t>
  </si>
  <si>
    <t>FA0592.VP508.MRAPV.RA</t>
  </si>
  <si>
    <t>FA0413.VP540.MRAPV.RA</t>
  </si>
  <si>
    <t>FA0427.AP540.MRAPV.RA</t>
  </si>
  <si>
    <t>FA0450.VP500.MRAPV.RA</t>
  </si>
  <si>
    <t>FA0408.AP500.MRAPV.RA</t>
  </si>
  <si>
    <t>FA0412.VP500.MRAPV.RA</t>
  </si>
  <si>
    <t>FA0682.VP508.MCAPV.RA</t>
  </si>
  <si>
    <t>FA0413.VP540.MCAPV.RA</t>
  </si>
  <si>
    <t>FA0427.AP540.MCAPV.RA</t>
  </si>
  <si>
    <t>FA0715.VP500.MCAPV.RA</t>
  </si>
  <si>
    <t>FA0408.AP500.MCAPV.RA</t>
  </si>
  <si>
    <t>FA0716.VP500.MCAPV.RA</t>
  </si>
  <si>
    <t>FA0682.VP508.BKSPC.CJ</t>
  </si>
  <si>
    <t>FA0413.VP540.BKSPC.CJ</t>
  </si>
  <si>
    <t>FA0418.VP540.BKSPC.CJ</t>
  </si>
  <si>
    <t>FA0427.AP540.BKSPC.CJ</t>
  </si>
  <si>
    <t>FA0715.VP500.BKSPC.CJ</t>
  </si>
  <si>
    <t>FA0408.AP500.BKSPC.CJ</t>
  </si>
  <si>
    <t>FA0716.VP500.BKSPC.CJ</t>
  </si>
  <si>
    <t>AS0640.VP540.CHMAN.CJ</t>
  </si>
  <si>
    <t>AS0460.VP540.CHMAN.CJ</t>
  </si>
  <si>
    <t>AS0714.VP540.CHMAN.CJ</t>
  </si>
  <si>
    <t>AS0640.VP540.BKSPC.CJ</t>
  </si>
  <si>
    <t>AS0714.VP540.BKSPC.CJ</t>
  </si>
  <si>
    <t>AS0107.VP540.MRAPV.RA</t>
  </si>
  <si>
    <t>AS0640.VP540.MRAPV.RA</t>
  </si>
  <si>
    <t>AS0107.VP540.WHKPP.RA</t>
  </si>
  <si>
    <t>AS0640.VP540.WHKPP.RA</t>
  </si>
  <si>
    <t>AS0107.VP540.WDRPV.RA</t>
  </si>
  <si>
    <t>AS0640.VP540.WDRPV.RA</t>
  </si>
  <si>
    <t>AS0107.VP540.MCAPV.RA</t>
  </si>
  <si>
    <t>AS0640.VP540.MCAPV.RA</t>
  </si>
  <si>
    <t>AS0107.VP540.OWDPV.RA</t>
  </si>
  <si>
    <t>AS0640.VP540.OWDPV.RA</t>
  </si>
  <si>
    <t>AS0107.VP540.IVMPP.CJ</t>
  </si>
  <si>
    <t>AS0640.VP540.IVMPP.RA</t>
  </si>
  <si>
    <t>Ручка-рейлинг</t>
  </si>
  <si>
    <t>Направляющая верхняя однополозная</t>
  </si>
  <si>
    <t>Черный</t>
  </si>
  <si>
    <t>Белый</t>
  </si>
  <si>
    <t>Коричневый</t>
  </si>
  <si>
    <t>бронза</t>
  </si>
  <si>
    <t>белый</t>
  </si>
  <si>
    <t xml:space="preserve"> Серый</t>
  </si>
  <si>
    <t>прозрачный</t>
  </si>
  <si>
    <t>черный</t>
  </si>
  <si>
    <t>Бронза</t>
  </si>
  <si>
    <t>FA0003.VP000.SLMPC.CO</t>
  </si>
  <si>
    <t>FH0171.VP000.BK000.CM</t>
  </si>
  <si>
    <t>FA0004.VR000.SLM00.CO</t>
  </si>
  <si>
    <t>FP0080.VR000.SLMPC.CO</t>
  </si>
  <si>
    <t>FH0102.VP000.SLMPC.CW</t>
  </si>
  <si>
    <t>FH0102.VP000.WHMPC.CW</t>
  </si>
  <si>
    <t>FH0102.VP000.BZMPC.CW</t>
  </si>
  <si>
    <t>FH0101.VP000.WHMPC.CW</t>
  </si>
  <si>
    <t>FH0101.VP000.SLMPC.CW</t>
  </si>
  <si>
    <t>FH0101.VP000.BZMPC.CW</t>
  </si>
  <si>
    <t>AA0110.VM050.GR000.CN</t>
  </si>
  <si>
    <t>FP0000.VS000.WH0PC.CR</t>
  </si>
  <si>
    <t>FP0000.VS000.BR0PC.CR</t>
  </si>
  <si>
    <t>FP0000.VS000.SLMPC.CR</t>
  </si>
  <si>
    <t>FP0000.VS000.BK0PC.CR</t>
  </si>
  <si>
    <t>FH0060.VR000.ZN0EP.CO</t>
  </si>
  <si>
    <t>FP0010.VS000.SLMPC.CO</t>
  </si>
  <si>
    <t>FH0090.BS000.ZN0EP.CS</t>
  </si>
  <si>
    <t>FX0010.VS000.SLMPC.CO</t>
  </si>
  <si>
    <t>FF0002.VP000.BR000.CY</t>
  </si>
  <si>
    <t>FF0002.VP000.GR000.CY</t>
  </si>
  <si>
    <t>FF0003.BP000.SLMPC.CO</t>
  </si>
  <si>
    <t>FF0009.VP000.SLMPC.CO</t>
  </si>
  <si>
    <t>FF0007.VP000.SLMPC.CO</t>
  </si>
  <si>
    <t>FF0005.VP000.SLMPC.CO</t>
  </si>
  <si>
    <t>FH0031.VP000.ZN0EP.CO</t>
  </si>
  <si>
    <t>FP0011.VP000.ZN0EP.CO</t>
  </si>
  <si>
    <t>FH0020.VP000.SLMAN.CO</t>
  </si>
  <si>
    <t>FF0001.VP000.SLMPC.CO</t>
  </si>
  <si>
    <t>FH0030.VS000.ZN0EP.CO</t>
  </si>
  <si>
    <t>FH0010.CR000.CMGEP.CR</t>
  </si>
  <si>
    <t>FH0070.VP000.SLMAN.CO</t>
  </si>
  <si>
    <t>FA0646.AP000.ZN0EP.CY</t>
  </si>
  <si>
    <t>AA0010.VR000.ZN0EP.CY</t>
  </si>
  <si>
    <t>AA0011.VR000.ZN0EP.CY</t>
  </si>
  <si>
    <t>FP0020.VP000.SLM00.CO</t>
  </si>
  <si>
    <t>FF0004.VP000.ZN0EP.CO</t>
  </si>
  <si>
    <t>FH0050.BR000.ZN0EP.CO</t>
  </si>
  <si>
    <t>FH0043.VP000.BRMPC.CR</t>
  </si>
  <si>
    <t>FH0043.VP000.SLMPC.CR</t>
  </si>
  <si>
    <t>AA0104.VM100.BR000.CL</t>
  </si>
  <si>
    <t>AA0104.VM100.GR000.CL</t>
  </si>
  <si>
    <t>AA0996.VM100.WH000.CL</t>
  </si>
  <si>
    <t>AA0996.VM100.GR000.CL</t>
  </si>
  <si>
    <t>FH0024.VS000.ZN0EP.CS</t>
  </si>
  <si>
    <t>FH0023.VS000.ZN0EP.CS</t>
  </si>
  <si>
    <t>FA0003.VP000.WHMPC.CO</t>
  </si>
  <si>
    <t>FA0004.VR000.WHM00.CO</t>
  </si>
  <si>
    <t>FP0010.VS000.WHMPC.CO</t>
  </si>
  <si>
    <t>FF0002.VP000.WH000.CY</t>
  </si>
  <si>
    <t>FF0009.VP000.WHMPC.CO</t>
  </si>
  <si>
    <t>FF0007.VP000.WHMPC.CO</t>
  </si>
  <si>
    <t>FF0005.VP000.WHMPC.CO</t>
  </si>
  <si>
    <t>FH0070.VP000.WHMPC.CO</t>
  </si>
  <si>
    <t>FH0043.VP000.WHMPC.CR</t>
  </si>
  <si>
    <t>AA0104.VM100.WH000.CL</t>
  </si>
  <si>
    <t>FA0003.VP000.BKSPC.CO</t>
  </si>
  <si>
    <t>FA0004.VR000.BKM00.CO</t>
  </si>
  <si>
    <t>FP0010.VS000.BKSPC.CO</t>
  </si>
  <si>
    <t>FP0080.VR000.WHMPC.CO</t>
  </si>
  <si>
    <t>FP0080.VR000.BKSPC.CO</t>
  </si>
  <si>
    <t>FF0002.VP000.BK000.CY</t>
  </si>
  <si>
    <t>FF0009.VP000.BKSPC.CO</t>
  </si>
  <si>
    <t>FF0007.VP000.BKSPC.CO</t>
  </si>
  <si>
    <t>FF0005.VP000.BKSPC.CO</t>
  </si>
  <si>
    <t>FH0070.VP000.BKSPC.CO</t>
  </si>
  <si>
    <t>FH0043.VP000.BKSPC.CR</t>
  </si>
  <si>
    <t>AA0104.VM100.BK000.CL</t>
  </si>
  <si>
    <t>AS0502.VS000.BK000.CY</t>
  </si>
  <si>
    <t>AS0501.VS000.BK000.CY</t>
  </si>
  <si>
    <t>AS0053.VP000.SLM00.CY</t>
  </si>
  <si>
    <t>AS0053.VP000.BZM00.CY</t>
  </si>
  <si>
    <t>AS0053.VP000.BKM00.CY</t>
  </si>
  <si>
    <t>AV0078.VM100.TR0EV.CB</t>
  </si>
  <si>
    <t>AA0084.VM100.TR000.RK</t>
  </si>
  <si>
    <t>AA0084.VM100.BK000.RK</t>
  </si>
  <si>
    <t>AA0075.VP000.ZN0EP.CO</t>
  </si>
  <si>
    <t>AA0956.VM150.GR000.CL</t>
  </si>
  <si>
    <t>AA0956.VM150.BR000.CL</t>
  </si>
  <si>
    <t>AA0956.VM150.WH000.CL</t>
  </si>
  <si>
    <t>AA0956.VM150.BK000.CL</t>
  </si>
  <si>
    <t>FA0410.VP500.BKMAN.CJ</t>
  </si>
  <si>
    <t>Выберите представительство:</t>
  </si>
  <si>
    <t>Краснодар</t>
  </si>
  <si>
    <t>Новоссибирск</t>
  </si>
  <si>
    <t>Нижний Новгород</t>
  </si>
  <si>
    <t>Екатеринбург</t>
  </si>
  <si>
    <t>Уфа</t>
  </si>
  <si>
    <t>Санкт-Петербург</t>
  </si>
  <si>
    <t>Новосиб, нижний, питер, уфа, екат</t>
  </si>
  <si>
    <t>Стоимость перегородки:</t>
  </si>
  <si>
    <t>Ширина проема А</t>
  </si>
  <si>
    <t>Ширина проема Б</t>
  </si>
  <si>
    <t>высота двери А:</t>
  </si>
  <si>
    <t>ширина двери А:</t>
  </si>
  <si>
    <t>высота двери Б:</t>
  </si>
  <si>
    <t>ширина двери Б:</t>
  </si>
  <si>
    <t>Количество дверей в проеме А</t>
  </si>
  <si>
    <t>Количество дверей в проеме Б</t>
  </si>
  <si>
    <t>направляющая верхняя А</t>
  </si>
  <si>
    <t>направляющая верхняя Б</t>
  </si>
  <si>
    <t>накладка декоративная А</t>
  </si>
  <si>
    <t>накладка декоративная Б</t>
  </si>
  <si>
    <t>рамка верхняя А</t>
  </si>
  <si>
    <t>рамка верхняя Б</t>
  </si>
  <si>
    <t>рамка нижняя А</t>
  </si>
  <si>
    <t>рамка нижняя Б</t>
  </si>
  <si>
    <t>&lt;5000</t>
  </si>
  <si>
    <t>проверка</t>
  </si>
  <si>
    <t>Количество средних рамок для одной двери</t>
  </si>
  <si>
    <t>стандарт</t>
  </si>
  <si>
    <t>4в1</t>
  </si>
  <si>
    <t>дверь А</t>
  </si>
  <si>
    <t>Дверь Б</t>
  </si>
  <si>
    <t>вес наполнения А</t>
  </si>
  <si>
    <t>Дверь А</t>
  </si>
  <si>
    <t>угловой профиль</t>
  </si>
  <si>
    <t>FA0427.AP540</t>
  </si>
  <si>
    <t>вес наполнения Б</t>
  </si>
  <si>
    <t>рамка средняя Стандарт</t>
  </si>
  <si>
    <t>рамка средняя 4в1</t>
  </si>
  <si>
    <t>Стоимость без распила хлыстов</t>
  </si>
  <si>
    <t>Стоимость с распилом хлыстов</t>
  </si>
  <si>
    <t>Без стоимости</t>
  </si>
  <si>
    <t>* ширина проема А и Б и количество дверей должны быть одинаковыми</t>
  </si>
  <si>
    <t>Механизм синхронного открывания *</t>
  </si>
  <si>
    <t xml:space="preserve"> Декоративная накладка для механизма мультипоследовательного синхр. открывания 4ПДВ</t>
  </si>
  <si>
    <t>FH0014.VP000.WH000.CY</t>
  </si>
  <si>
    <t>FH0014.VP000.MG000.CY</t>
  </si>
  <si>
    <t>FH0014.VP000.BK000.CY</t>
  </si>
  <si>
    <t>Металлик</t>
  </si>
  <si>
    <t xml:space="preserve"> Декоративная накладка для мех. мультипоследовательного синхр. открывания</t>
  </si>
  <si>
    <t>FH0014.VP000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</si>
</sst>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3" formatCode="_-* #,##0.00\ _₽_-;\-* #,##0.00\ _₽_-;_-* &quot;-&quot;??\ _₽_-;_-@_-"/>
    <numFmt numFmtId="164" formatCode="#,##0&quot; мм.&quot;"/>
    <numFmt numFmtId="165" formatCode="#,##0&quot; шт.&quot;"/>
    <numFmt numFmtId="166" formatCode="#,##0.00&quot;р.&quot;"/>
    <numFmt numFmtId="167" formatCode="#,##0.0&quot; мм.&quot;"/>
    <numFmt numFmtId="168" formatCode="#,##0&quot; комп.&quot;"/>
    <numFmt numFmtId="169" formatCode="#,##0.00\ &quot;р.&quot;"/>
    <numFmt numFmtId="170" formatCode="0.0"/>
    <numFmt numFmtId="171" formatCode="#,##0.00&quot; шт.&quot;"/>
    <numFmt numFmtId="172" formatCode="#,##0&quot; мм&quot;"/>
    <numFmt numFmtId="173" formatCode="#,##0&quot; м.&quot;"/>
    <numFmt numFmtId="174" formatCode="_-* #,##0.00\ _р_._-;\-* #,##0.00\ _р_._-;_-* &quot;-&quot;??\ _р_._-;_-@_-"/>
    <numFmt numFmtId="175" formatCode="_-* #,##0.00&quot;р.&quot;_-;\-* #,##0.00&quot;р.&quot;_-;_-* &quot;-&quot;??&quot;р.&quot;_-;_-@_-"/>
    <numFmt numFmtId="176" formatCode="_-* #,##0.00_р_._-;\-* #,##0.00_р_._-;_-* &quot;-&quot;??_р_._-;_-@_-"/>
    <numFmt numFmtId="177" formatCode="_(&quot;$&quot;* #,##0.00_);_(&quot;$&quot;* \(#,##0.00\);_(&quot;$&quot;* &quot;-&quot;??_);_(@_)"/>
    <numFmt numFmtId="178" formatCode="0.00&quot; руб.&quot;"/>
    <numFmt numFmtId="179" formatCode="#,##0.00&quot; руб.&quot;"/>
    <numFmt numFmtId="180" formatCode="0.000"/>
    <numFmt numFmtId="181" formatCode="0&quot; кг.&quot;"/>
    <numFmt numFmtId="182" formatCode="#,##0&quot; А&quot;"/>
  </numFmts>
  <fonts count="40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0"/>
      <color theme="6" tint="-0.499984740745262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u/>
      <sz val="10"/>
      <color theme="10"/>
      <name val="Arial"/>
      <family val="2"/>
      <charset val="204"/>
    </font>
    <font>
      <sz val="8"/>
      <name val="Arial"/>
      <family val="2"/>
      <charset val="204"/>
    </font>
    <font>
      <b/>
      <sz val="12"/>
      <color theme="0"/>
      <name val="Arial"/>
      <family val="2"/>
      <charset val="204"/>
    </font>
    <font>
      <b/>
      <sz val="10"/>
      <color theme="0"/>
      <name val="Arial"/>
      <family val="2"/>
      <charset val="204"/>
    </font>
    <font>
      <sz val="10"/>
      <color theme="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rgb="FFFFFFFF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name val="Calibri"/>
      <family val="2"/>
      <charset val="204"/>
      <scheme val="minor"/>
    </font>
    <font>
      <b/>
      <sz val="9"/>
      <name val="Arial"/>
      <family val="2"/>
      <charset val="204"/>
    </font>
    <font>
      <sz val="14"/>
      <color rgb="FFFFFFFF"/>
      <name val="Calibri"/>
      <family val="2"/>
      <charset val="204"/>
      <scheme val="minor"/>
    </font>
    <font>
      <sz val="8"/>
      <name val="Arial"/>
      <family val="2"/>
    </font>
    <font>
      <b/>
      <sz val="20"/>
      <color theme="1"/>
      <name val="Candara"/>
      <family val="2"/>
      <charset val="204"/>
    </font>
    <font>
      <sz val="9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4"/>
      <name val="Calibri"/>
      <family val="2"/>
      <scheme val="minor"/>
    </font>
    <font>
      <sz val="7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3"/>
      <name val="Calibri"/>
      <family val="2"/>
      <charset val="204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287">
    <xf numFmtId="0" fontId="0" fillId="0" borderId="0"/>
    <xf numFmtId="0" fontId="5" fillId="0" borderId="0"/>
    <xf numFmtId="0" fontId="10" fillId="0" borderId="0" applyNumberForma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177" fontId="12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175" fontId="12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0" fontId="12" fillId="0" borderId="0"/>
    <xf numFmtId="0" fontId="12" fillId="0" borderId="0"/>
    <xf numFmtId="176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7" fontId="12" fillId="0" borderId="0" applyFont="0" applyFill="0" applyBorder="0" applyAlignment="0" applyProtection="0"/>
    <xf numFmtId="0" fontId="12" fillId="0" borderId="0"/>
    <xf numFmtId="176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7" fontId="12" fillId="0" borderId="0" applyFont="0" applyFill="0" applyBorder="0" applyAlignment="0" applyProtection="0"/>
    <xf numFmtId="0" fontId="12" fillId="0" borderId="0"/>
    <xf numFmtId="176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7" fontId="12" fillId="0" borderId="0" applyFont="0" applyFill="0" applyBorder="0" applyAlignment="0" applyProtection="0"/>
    <xf numFmtId="0" fontId="12" fillId="0" borderId="0"/>
    <xf numFmtId="176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175" fontId="12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7" fontId="12" fillId="0" borderId="0" applyFont="0" applyFill="0" applyBorder="0" applyAlignment="0" applyProtection="0"/>
    <xf numFmtId="0" fontId="12" fillId="0" borderId="0"/>
    <xf numFmtId="176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174" fontId="12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174" fontId="12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174" fontId="12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174" fontId="12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174" fontId="12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22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5" fillId="0" borderId="0"/>
    <xf numFmtId="176" fontId="5" fillId="0" borderId="0" applyFont="0" applyFill="0" applyBorder="0" applyAlignment="0" applyProtection="0"/>
    <xf numFmtId="0" fontId="31" fillId="0" borderId="0"/>
    <xf numFmtId="0" fontId="5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602">
    <xf numFmtId="0" fontId="0" fillId="0" borderId="0" xfId="0"/>
    <xf numFmtId="0" fontId="0" fillId="0" borderId="0" xfId="0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15" fillId="0" borderId="0" xfId="2" applyFont="1" applyAlignment="1" applyProtection="1">
      <alignment horizontal="left"/>
    </xf>
    <xf numFmtId="0" fontId="2" fillId="0" borderId="0" xfId="0" applyFont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center" vertical="center"/>
    </xf>
    <xf numFmtId="0" fontId="11" fillId="0" borderId="0" xfId="2" applyFont="1" applyBorder="1" applyAlignment="1" applyProtection="1">
      <alignment horizontal="center" vertical="center"/>
    </xf>
    <xf numFmtId="0" fontId="0" fillId="0" borderId="5" xfId="0" applyFill="1" applyBorder="1" applyAlignment="1" applyProtection="1">
      <alignment vertical="center"/>
    </xf>
    <xf numFmtId="0" fontId="0" fillId="0" borderId="13" xfId="0" applyBorder="1" applyAlignment="1" applyProtection="1">
      <alignment vertical="center"/>
    </xf>
    <xf numFmtId="0" fontId="0" fillId="0" borderId="5" xfId="0" applyBorder="1" applyAlignment="1" applyProtection="1">
      <alignment vertical="center"/>
    </xf>
    <xf numFmtId="0" fontId="0" fillId="0" borderId="14" xfId="0" applyBorder="1" applyAlignment="1" applyProtection="1">
      <alignment vertical="center"/>
    </xf>
    <xf numFmtId="0" fontId="26" fillId="6" borderId="1" xfId="0" applyFont="1" applyFill="1" applyBorder="1" applyAlignment="1" applyProtection="1">
      <alignment vertical="center"/>
      <protection locked="0"/>
    </xf>
    <xf numFmtId="172" fontId="26" fillId="7" borderId="1" xfId="0" applyNumberFormat="1" applyFont="1" applyFill="1" applyBorder="1" applyAlignment="1" applyProtection="1">
      <alignment horizontal="center" vertical="center"/>
    </xf>
    <xf numFmtId="172" fontId="26" fillId="6" borderId="1" xfId="0" applyNumberFormat="1" applyFont="1" applyFill="1" applyBorder="1" applyAlignment="1" applyProtection="1">
      <alignment horizontal="center" vertical="center"/>
      <protection locked="0"/>
    </xf>
    <xf numFmtId="167" fontId="0" fillId="0" borderId="0" xfId="0" applyNumberFormat="1" applyFill="1" applyBorder="1" applyAlignment="1" applyProtection="1">
      <alignment vertical="center"/>
    </xf>
    <xf numFmtId="164" fontId="0" fillId="0" borderId="0" xfId="0" applyNumberForma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25" fillId="0" borderId="2" xfId="0" applyFont="1" applyBorder="1" applyAlignment="1" applyProtection="1">
      <alignment horizontal="right" vertical="center"/>
    </xf>
    <xf numFmtId="0" fontId="25" fillId="0" borderId="2" xfId="0" applyFont="1" applyBorder="1" applyAlignment="1" applyProtection="1">
      <alignment vertical="center"/>
    </xf>
    <xf numFmtId="167" fontId="0" fillId="0" borderId="0" xfId="0" applyNumberFormat="1" applyBorder="1" applyAlignment="1" applyProtection="1">
      <alignment vertical="center"/>
    </xf>
    <xf numFmtId="0" fontId="12" fillId="0" borderId="0" xfId="0" applyFont="1" applyFill="1" applyBorder="1" applyProtection="1"/>
    <xf numFmtId="0" fontId="13" fillId="0" borderId="0" xfId="0" applyFont="1" applyAlignment="1" applyProtection="1">
      <alignment horizontal="left"/>
    </xf>
    <xf numFmtId="0" fontId="12" fillId="0" borderId="0" xfId="0" applyFont="1" applyFill="1" applyBorder="1" applyAlignment="1" applyProtection="1">
      <alignment horizontal="left" vertical="center"/>
    </xf>
    <xf numFmtId="0" fontId="12" fillId="0" borderId="0" xfId="0" applyFont="1" applyFill="1" applyBorder="1" applyAlignment="1" applyProtection="1">
      <alignment horizontal="right"/>
    </xf>
    <xf numFmtId="0" fontId="0" fillId="0" borderId="0" xfId="0" applyProtection="1"/>
    <xf numFmtId="0" fontId="12" fillId="0" borderId="0" xfId="0" applyFont="1" applyFill="1" applyBorder="1" applyAlignment="1" applyProtection="1">
      <alignment horizontal="center"/>
    </xf>
    <xf numFmtId="0" fontId="12" fillId="0" borderId="0" xfId="0" applyFont="1" applyFill="1" applyBorder="1" applyAlignment="1" applyProtection="1">
      <alignment horizontal="center" vertical="center"/>
    </xf>
    <xf numFmtId="169" fontId="12" fillId="0" borderId="0" xfId="0" applyNumberFormat="1" applyFont="1" applyFill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left"/>
    </xf>
    <xf numFmtId="9" fontId="13" fillId="0" borderId="0" xfId="3" applyNumberFormat="1" applyFont="1" applyFill="1" applyBorder="1" applyAlignment="1" applyProtection="1">
      <alignment horizontal="center" vertical="center" wrapText="1"/>
    </xf>
    <xf numFmtId="0" fontId="12" fillId="0" borderId="5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Protection="1"/>
    <xf numFmtId="2" fontId="12" fillId="0" borderId="0" xfId="0" applyNumberFormat="1" applyFont="1" applyProtection="1"/>
    <xf numFmtId="0" fontId="12" fillId="0" borderId="1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Protection="1"/>
    <xf numFmtId="0" fontId="13" fillId="0" borderId="0" xfId="0" applyFont="1" applyProtection="1"/>
    <xf numFmtId="0" fontId="12" fillId="0" borderId="1" xfId="0" applyFont="1" applyFill="1" applyBorder="1" applyAlignment="1" applyProtection="1">
      <alignment vertical="center" wrapText="1"/>
    </xf>
    <xf numFmtId="0" fontId="0" fillId="0" borderId="1" xfId="0" applyBorder="1" applyProtection="1"/>
    <xf numFmtId="169" fontId="12" fillId="0" borderId="1" xfId="0" applyNumberFormat="1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7" fillId="0" borderId="0" xfId="0" applyFont="1" applyBorder="1" applyAlignment="1" applyProtection="1">
      <alignment vertical="center"/>
    </xf>
    <xf numFmtId="165" fontId="3" fillId="0" borderId="0" xfId="0" applyNumberFormat="1" applyFont="1" applyFill="1" applyAlignment="1" applyProtection="1">
      <alignment vertical="center"/>
    </xf>
    <xf numFmtId="0" fontId="9" fillId="0" borderId="5" xfId="0" applyFont="1" applyFill="1" applyBorder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0" fontId="25" fillId="0" borderId="0" xfId="0" applyFont="1" applyFill="1" applyBorder="1" applyAlignment="1" applyProtection="1">
      <alignment horizontal="left" vertical="center"/>
    </xf>
    <xf numFmtId="0" fontId="22" fillId="2" borderId="6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1" fillId="0" borderId="5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left" vertical="top"/>
    </xf>
    <xf numFmtId="0" fontId="26" fillId="0" borderId="0" xfId="0" applyFont="1" applyAlignment="1" applyProtection="1">
      <alignment horizontal="left" vertical="top"/>
    </xf>
    <xf numFmtId="0" fontId="26" fillId="0" borderId="11" xfId="0" applyFont="1" applyBorder="1" applyAlignment="1" applyProtection="1">
      <alignment vertical="center"/>
    </xf>
    <xf numFmtId="0" fontId="26" fillId="0" borderId="3" xfId="0" applyFont="1" applyBorder="1" applyAlignment="1" applyProtection="1">
      <alignment vertical="center"/>
    </xf>
    <xf numFmtId="0" fontId="26" fillId="0" borderId="4" xfId="0" applyFont="1" applyBorder="1" applyAlignment="1" applyProtection="1">
      <alignment vertical="center"/>
    </xf>
    <xf numFmtId="0" fontId="26" fillId="0" borderId="13" xfId="0" applyFont="1" applyBorder="1" applyAlignment="1" applyProtection="1">
      <alignment horizontal="right"/>
    </xf>
    <xf numFmtId="165" fontId="26" fillId="2" borderId="21" xfId="0" applyNumberFormat="1" applyFont="1" applyFill="1" applyBorder="1" applyAlignment="1" applyProtection="1">
      <alignment horizontal="center" vertical="center"/>
    </xf>
    <xf numFmtId="0" fontId="26" fillId="0" borderId="13" xfId="0" applyFont="1" applyBorder="1" applyAlignment="1" applyProtection="1">
      <alignment horizontal="center" vertical="center"/>
    </xf>
    <xf numFmtId="0" fontId="26" fillId="0" borderId="5" xfId="0" applyFont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horizontal="right" vertical="center"/>
    </xf>
    <xf numFmtId="0" fontId="26" fillId="0" borderId="13" xfId="0" applyFont="1" applyBorder="1" applyAlignment="1" applyProtection="1">
      <alignment vertical="center"/>
    </xf>
    <xf numFmtId="0" fontId="26" fillId="0" borderId="0" xfId="0" applyFont="1" applyBorder="1" applyAlignment="1" applyProtection="1">
      <alignment vertical="center"/>
    </xf>
    <xf numFmtId="0" fontId="26" fillId="0" borderId="5" xfId="0" applyFont="1" applyBorder="1" applyAlignment="1" applyProtection="1">
      <alignment vertical="center"/>
    </xf>
    <xf numFmtId="0" fontId="26" fillId="0" borderId="2" xfId="0" applyFont="1" applyBorder="1" applyAlignment="1" applyProtection="1">
      <alignment horizontal="center" vertical="center"/>
    </xf>
    <xf numFmtId="0" fontId="21" fillId="0" borderId="1" xfId="0" applyFont="1" applyBorder="1" applyAlignment="1" applyProtection="1">
      <alignment horizontal="center" vertical="center"/>
    </xf>
    <xf numFmtId="0" fontId="21" fillId="0" borderId="6" xfId="0" applyFont="1" applyBorder="1" applyAlignment="1" applyProtection="1">
      <alignment horizontal="center" vertical="center"/>
    </xf>
    <xf numFmtId="0" fontId="26" fillId="0" borderId="2" xfId="0" applyFont="1" applyBorder="1" applyAlignment="1" applyProtection="1">
      <alignment vertical="center"/>
    </xf>
    <xf numFmtId="172" fontId="26" fillId="0" borderId="1" xfId="0" applyNumberFormat="1" applyFont="1" applyBorder="1" applyAlignment="1" applyProtection="1">
      <alignment horizontal="center" vertical="center"/>
    </xf>
    <xf numFmtId="165" fontId="26" fillId="0" borderId="1" xfId="0" applyNumberFormat="1" applyFont="1" applyBorder="1" applyAlignment="1" applyProtection="1">
      <alignment horizontal="center" vertical="center"/>
    </xf>
    <xf numFmtId="166" fontId="21" fillId="0" borderId="6" xfId="0" applyNumberFormat="1" applyFont="1" applyBorder="1" applyAlignment="1" applyProtection="1">
      <alignment horizontal="right" vertical="center"/>
    </xf>
    <xf numFmtId="0" fontId="27" fillId="0" borderId="0" xfId="0" applyFont="1" applyFill="1" applyAlignment="1" applyProtection="1">
      <alignment vertical="center"/>
    </xf>
    <xf numFmtId="169" fontId="0" fillId="0" borderId="0" xfId="0" applyNumberFormat="1" applyFill="1" applyBorder="1" applyAlignment="1" applyProtection="1">
      <alignment vertical="center"/>
    </xf>
    <xf numFmtId="169" fontId="0" fillId="0" borderId="0" xfId="0" applyNumberForma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7" fillId="0" borderId="2" xfId="0" applyFont="1" applyBorder="1" applyAlignment="1" applyProtection="1">
      <alignment vertical="center"/>
    </xf>
    <xf numFmtId="169" fontId="21" fillId="0" borderId="21" xfId="0" applyNumberFormat="1" applyFont="1" applyBorder="1" applyAlignment="1" applyProtection="1">
      <alignment horizontal="right" vertical="center"/>
    </xf>
    <xf numFmtId="0" fontId="26" fillId="0" borderId="1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6" fillId="0" borderId="0" xfId="0" applyFont="1" applyFill="1" applyBorder="1" applyAlignment="1" applyProtection="1">
      <alignment vertical="center"/>
    </xf>
    <xf numFmtId="0" fontId="26" fillId="0" borderId="0" xfId="0" applyFont="1" applyBorder="1" applyAlignment="1" applyProtection="1">
      <alignment horizontal="left" vertical="center"/>
    </xf>
    <xf numFmtId="0" fontId="26" fillId="0" borderId="13" xfId="0" applyFont="1" applyBorder="1" applyProtection="1"/>
    <xf numFmtId="0" fontId="26" fillId="0" borderId="0" xfId="0" applyFont="1" applyBorder="1" applyProtection="1"/>
    <xf numFmtId="169" fontId="21" fillId="0" borderId="0" xfId="0" applyNumberFormat="1" applyFont="1" applyBorder="1" applyAlignment="1" applyProtection="1">
      <alignment vertical="center"/>
    </xf>
    <xf numFmtId="0" fontId="0" fillId="0" borderId="0" xfId="0" applyFill="1" applyBorder="1" applyAlignment="1" applyProtection="1">
      <alignment horizontal="center" vertical="center"/>
    </xf>
    <xf numFmtId="0" fontId="26" fillId="0" borderId="0" xfId="0" applyFont="1" applyProtection="1"/>
    <xf numFmtId="0" fontId="26" fillId="0" borderId="14" xfId="0" applyFont="1" applyBorder="1" applyProtection="1"/>
    <xf numFmtId="0" fontId="26" fillId="0" borderId="9" xfId="0" applyFont="1" applyBorder="1" applyProtection="1"/>
    <xf numFmtId="0" fontId="26" fillId="0" borderId="9" xfId="0" applyFont="1" applyBorder="1" applyAlignment="1" applyProtection="1">
      <alignment horizontal="center" vertical="center"/>
    </xf>
    <xf numFmtId="0" fontId="26" fillId="0" borderId="10" xfId="0" applyFont="1" applyBorder="1" applyAlignment="1" applyProtection="1">
      <alignment horizontal="center" vertical="center"/>
    </xf>
    <xf numFmtId="166" fontId="21" fillId="6" borderId="1" xfId="0" applyNumberFormat="1" applyFont="1" applyFill="1" applyBorder="1" applyAlignment="1" applyProtection="1">
      <alignment horizontal="center" vertical="center"/>
      <protection locked="0"/>
    </xf>
    <xf numFmtId="164" fontId="22" fillId="2" borderId="1" xfId="0" applyNumberFormat="1" applyFont="1" applyFill="1" applyBorder="1" applyAlignment="1" applyProtection="1">
      <alignment horizontal="center" vertical="center"/>
    </xf>
    <xf numFmtId="169" fontId="22" fillId="0" borderId="1" xfId="0" applyNumberFormat="1" applyFont="1" applyBorder="1" applyAlignment="1" applyProtection="1">
      <alignment vertical="center"/>
    </xf>
    <xf numFmtId="0" fontId="26" fillId="0" borderId="13" xfId="0" applyFont="1" applyFill="1" applyBorder="1" applyAlignment="1" applyProtection="1">
      <alignment horizontal="center" vertical="center"/>
    </xf>
    <xf numFmtId="0" fontId="26" fillId="0" borderId="0" xfId="0" applyFont="1" applyFill="1" applyBorder="1" applyAlignment="1" applyProtection="1">
      <alignment horizontal="center" vertical="center"/>
    </xf>
    <xf numFmtId="0" fontId="22" fillId="0" borderId="0" xfId="0" applyFont="1" applyBorder="1" applyAlignment="1" applyProtection="1">
      <alignment vertical="center"/>
    </xf>
    <xf numFmtId="166" fontId="0" fillId="0" borderId="0" xfId="0" applyNumberFormat="1" applyFill="1" applyBorder="1" applyAlignment="1" applyProtection="1">
      <alignment vertical="center"/>
    </xf>
    <xf numFmtId="165" fontId="0" fillId="0" borderId="0" xfId="0" applyNumberFormat="1" applyFill="1" applyBorder="1" applyAlignment="1" applyProtection="1">
      <alignment vertical="center"/>
    </xf>
    <xf numFmtId="169" fontId="20" fillId="0" borderId="0" xfId="0" applyNumberFormat="1" applyFont="1" applyFill="1" applyBorder="1" applyAlignment="1" applyProtection="1">
      <alignment vertical="center"/>
    </xf>
    <xf numFmtId="169" fontId="20" fillId="0" borderId="0" xfId="0" applyNumberFormat="1" applyFont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165" fontId="3" fillId="0" borderId="0" xfId="0" applyNumberFormat="1" applyFont="1" applyAlignment="1" applyProtection="1">
      <alignment vertical="center"/>
    </xf>
    <xf numFmtId="0" fontId="25" fillId="0" borderId="2" xfId="0" applyFont="1" applyFill="1" applyBorder="1" applyAlignment="1" applyProtection="1">
      <alignment horizontal="right" vertical="center"/>
    </xf>
    <xf numFmtId="0" fontId="30" fillId="0" borderId="0" xfId="0" applyFont="1" applyFill="1" applyBorder="1" applyAlignment="1" applyProtection="1">
      <alignment vertical="center"/>
    </xf>
    <xf numFmtId="0" fontId="0" fillId="0" borderId="13" xfId="0" applyFill="1" applyBorder="1" applyAlignment="1" applyProtection="1">
      <alignment vertical="center"/>
    </xf>
    <xf numFmtId="0" fontId="1" fillId="0" borderId="13" xfId="0" applyFont="1" applyFill="1" applyBorder="1" applyAlignment="1" applyProtection="1">
      <alignment horizontal="center" vertical="center"/>
    </xf>
    <xf numFmtId="167" fontId="0" fillId="0" borderId="5" xfId="0" applyNumberFormat="1" applyFill="1" applyBorder="1" applyAlignment="1" applyProtection="1">
      <alignment vertical="center"/>
    </xf>
    <xf numFmtId="0" fontId="0" fillId="0" borderId="14" xfId="0" applyFill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165" fontId="3" fillId="0" borderId="0" xfId="0" applyNumberFormat="1" applyFont="1" applyBorder="1" applyAlignment="1" applyProtection="1">
      <alignment vertical="center"/>
    </xf>
    <xf numFmtId="0" fontId="0" fillId="0" borderId="0" xfId="0" applyFill="1" applyAlignment="1" applyProtection="1">
      <alignment vertical="center" wrapText="1"/>
    </xf>
    <xf numFmtId="0" fontId="22" fillId="0" borderId="0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left" vertical="center"/>
    </xf>
    <xf numFmtId="0" fontId="22" fillId="0" borderId="0" xfId="0" applyFont="1" applyFill="1" applyBorder="1" applyAlignment="1" applyProtection="1">
      <alignment vertical="center"/>
    </xf>
    <xf numFmtId="0" fontId="23" fillId="0" borderId="0" xfId="0" applyFont="1" applyFill="1" applyBorder="1" applyAlignment="1" applyProtection="1">
      <alignment horizontal="center" vertical="center"/>
    </xf>
    <xf numFmtId="0" fontId="23" fillId="0" borderId="5" xfId="0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vertical="center"/>
    </xf>
    <xf numFmtId="2" fontId="12" fillId="0" borderId="0" xfId="0" applyNumberFormat="1" applyFont="1" applyFill="1" applyProtection="1"/>
    <xf numFmtId="9" fontId="13" fillId="6" borderId="1" xfId="3" applyNumberFormat="1" applyFont="1" applyFill="1" applyBorder="1" applyAlignment="1" applyProtection="1">
      <alignment horizontal="center" vertical="center" wrapText="1"/>
      <protection locked="0"/>
    </xf>
    <xf numFmtId="169" fontId="22" fillId="0" borderId="1" xfId="0" applyNumberFormat="1" applyFont="1" applyBorder="1" applyAlignment="1" applyProtection="1">
      <alignment horizontal="center" vertical="center"/>
    </xf>
    <xf numFmtId="169" fontId="12" fillId="6" borderId="1" xfId="0" applyNumberFormat="1" applyFont="1" applyFill="1" applyBorder="1" applyAlignment="1" applyProtection="1">
      <alignment horizontal="center" vertical="center"/>
      <protection locked="0"/>
    </xf>
    <xf numFmtId="164" fontId="22" fillId="0" borderId="1" xfId="0" applyNumberFormat="1" applyFont="1" applyFill="1" applyBorder="1" applyAlignment="1" applyProtection="1">
      <alignment horizontal="center" vertical="center"/>
    </xf>
    <xf numFmtId="165" fontId="22" fillId="0" borderId="1" xfId="0" applyNumberFormat="1" applyFont="1" applyFill="1" applyBorder="1" applyAlignment="1" applyProtection="1">
      <alignment horizontal="center" vertical="center"/>
    </xf>
    <xf numFmtId="0" fontId="22" fillId="0" borderId="1" xfId="0" applyFont="1" applyBorder="1" applyAlignment="1" applyProtection="1">
      <alignment horizontal="center" vertical="center" wrapText="1"/>
    </xf>
    <xf numFmtId="164" fontId="25" fillId="0" borderId="1" xfId="0" applyNumberFormat="1" applyFont="1" applyBorder="1" applyAlignment="1" applyProtection="1">
      <alignment horizontal="center" vertical="center"/>
    </xf>
    <xf numFmtId="165" fontId="25" fillId="0" borderId="1" xfId="0" applyNumberFormat="1" applyFont="1" applyBorder="1" applyAlignment="1" applyProtection="1">
      <alignment horizontal="center" vertical="center"/>
    </xf>
    <xf numFmtId="169" fontId="0" fillId="0" borderId="1" xfId="0" applyNumberFormat="1" applyBorder="1" applyAlignment="1" applyProtection="1">
      <alignment horizontal="center" vertical="center"/>
    </xf>
    <xf numFmtId="166" fontId="21" fillId="0" borderId="34" xfId="0" applyNumberFormat="1" applyFont="1" applyBorder="1" applyAlignment="1" applyProtection="1">
      <alignment horizontal="right" vertical="center"/>
    </xf>
    <xf numFmtId="165" fontId="25" fillId="0" borderId="2" xfId="0" applyNumberFormat="1" applyFont="1" applyBorder="1" applyAlignment="1" applyProtection="1">
      <alignment vertical="center"/>
    </xf>
    <xf numFmtId="165" fontId="25" fillId="0" borderId="2" xfId="0" applyNumberFormat="1" applyFont="1" applyFill="1" applyBorder="1" applyAlignment="1" applyProtection="1">
      <alignment vertical="center"/>
    </xf>
    <xf numFmtId="169" fontId="3" fillId="0" borderId="21" xfId="0" applyNumberFormat="1" applyFont="1" applyBorder="1" applyAlignment="1" applyProtection="1">
      <alignment horizontal="center" vertical="center"/>
    </xf>
    <xf numFmtId="0" fontId="9" fillId="0" borderId="4" xfId="0" applyFont="1" applyFill="1" applyBorder="1" applyAlignment="1" applyProtection="1">
      <alignment horizontal="left" vertical="center"/>
    </xf>
    <xf numFmtId="169" fontId="20" fillId="0" borderId="21" xfId="0" applyNumberFormat="1" applyFont="1" applyBorder="1" applyAlignment="1" applyProtection="1">
      <alignment horizontal="center" vertical="center"/>
    </xf>
    <xf numFmtId="0" fontId="0" fillId="0" borderId="10" xfId="0" applyBorder="1" applyAlignment="1" applyProtection="1">
      <alignment vertical="center"/>
    </xf>
    <xf numFmtId="0" fontId="0" fillId="0" borderId="10" xfId="0" applyFill="1" applyBorder="1" applyAlignment="1" applyProtection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vertical="center"/>
    </xf>
    <xf numFmtId="0" fontId="4" fillId="9" borderId="1" xfId="0" applyFont="1" applyFill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21" xfId="0" applyFont="1" applyFill="1" applyBorder="1" applyAlignment="1" applyProtection="1">
      <alignment vertical="center"/>
    </xf>
    <xf numFmtId="4" fontId="0" fillId="0" borderId="0" xfId="0" applyNumberFormat="1" applyBorder="1" applyAlignment="1" applyProtection="1">
      <alignment vertical="center"/>
    </xf>
    <xf numFmtId="4" fontId="0" fillId="0" borderId="21" xfId="0" applyNumberFormat="1" applyBorder="1" applyAlignment="1" applyProtection="1">
      <alignment vertical="center"/>
    </xf>
    <xf numFmtId="181" fontId="26" fillId="0" borderId="21" xfId="0" applyNumberFormat="1" applyFont="1" applyBorder="1" applyAlignment="1" applyProtection="1">
      <alignment horizontal="center" vertical="center"/>
    </xf>
    <xf numFmtId="0" fontId="32" fillId="0" borderId="0" xfId="0" applyFont="1" applyFill="1" applyAlignment="1" applyProtection="1">
      <alignment horizontal="center" vertical="center" wrapText="1"/>
    </xf>
    <xf numFmtId="0" fontId="25" fillId="0" borderId="7" xfId="0" applyFont="1" applyBorder="1" applyAlignment="1" applyProtection="1">
      <alignment horizontal="right" vertical="center"/>
    </xf>
    <xf numFmtId="0" fontId="0" fillId="0" borderId="9" xfId="0" applyBorder="1" applyAlignment="1" applyProtection="1">
      <alignment vertical="center"/>
    </xf>
    <xf numFmtId="0" fontId="4" fillId="0" borderId="0" xfId="0" applyFont="1" applyBorder="1" applyAlignment="1" applyProtection="1">
      <alignment vertical="center" wrapText="1"/>
    </xf>
    <xf numFmtId="169" fontId="12" fillId="0" borderId="1" xfId="0" applyNumberFormat="1" applyFont="1" applyFill="1" applyBorder="1" applyAlignment="1" applyProtection="1">
      <alignment horizontal="center" vertical="center"/>
    </xf>
    <xf numFmtId="169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 applyProtection="1">
      <alignment horizontal="center" vertical="center" wrapText="1"/>
    </xf>
    <xf numFmtId="170" fontId="12" fillId="0" borderId="1" xfId="0" applyNumberFormat="1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</xf>
    <xf numFmtId="0" fontId="22" fillId="2" borderId="33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169" fontId="12" fillId="0" borderId="1" xfId="0" applyNumberFormat="1" applyFont="1" applyFill="1" applyBorder="1" applyAlignment="1" applyProtection="1">
      <alignment horizontal="center" vertical="center"/>
    </xf>
    <xf numFmtId="169" fontId="14" fillId="0" borderId="1" xfId="0" applyNumberFormat="1" applyFont="1" applyBorder="1" applyAlignment="1" applyProtection="1">
      <alignment horizontal="center" vertical="center"/>
    </xf>
    <xf numFmtId="169" fontId="12" fillId="0" borderId="1" xfId="0" applyNumberFormat="1" applyFont="1" applyFill="1" applyBorder="1" applyAlignment="1">
      <alignment horizontal="center" vertical="center"/>
    </xf>
    <xf numFmtId="0" fontId="12" fillId="0" borderId="0" xfId="0" applyFont="1" applyBorder="1" applyAlignment="1" applyProtection="1">
      <alignment vertical="center"/>
    </xf>
    <xf numFmtId="169" fontId="12" fillId="0" borderId="1" xfId="0" applyNumberFormat="1" applyFont="1" applyFill="1" applyBorder="1" applyAlignment="1" applyProtection="1">
      <alignment vertical="center"/>
    </xf>
    <xf numFmtId="169" fontId="12" fillId="0" borderId="1" xfId="0" applyNumberFormat="1" applyFont="1" applyFill="1" applyBorder="1" applyAlignment="1" applyProtection="1">
      <alignment vertical="center"/>
    </xf>
    <xf numFmtId="170" fontId="12" fillId="0" borderId="1" xfId="0" applyNumberFormat="1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 applyProtection="1">
      <alignment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 applyProtection="1">
      <alignment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169" fontId="14" fillId="0" borderId="1" xfId="0" applyNumberFormat="1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left" vertical="center" wrapText="1"/>
    </xf>
    <xf numFmtId="0" fontId="13" fillId="4" borderId="1" xfId="0" applyFont="1" applyFill="1" applyBorder="1" applyAlignment="1" applyProtection="1">
      <alignment horizontal="center" vertical="center" wrapText="1"/>
    </xf>
    <xf numFmtId="169" fontId="29" fillId="4" borderId="1" xfId="3" applyNumberFormat="1" applyFont="1" applyFill="1" applyBorder="1" applyAlignment="1" applyProtection="1">
      <alignment horizontal="center" vertical="center" wrapText="1"/>
    </xf>
    <xf numFmtId="169" fontId="13" fillId="4" borderId="1" xfId="3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/>
    </xf>
    <xf numFmtId="0" fontId="0" fillId="0" borderId="1" xfId="0" applyFill="1" applyBorder="1" applyAlignment="1" applyProtection="1">
      <alignment vertical="center"/>
    </xf>
    <xf numFmtId="0" fontId="0" fillId="0" borderId="1" xfId="0" applyBorder="1" applyAlignment="1" applyProtection="1">
      <alignment vertical="center"/>
    </xf>
    <xf numFmtId="0" fontId="6" fillId="0" borderId="1" xfId="0" applyFont="1" applyFill="1" applyBorder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vertical="center" wrapText="1"/>
    </xf>
    <xf numFmtId="0" fontId="4" fillId="6" borderId="1" xfId="0" applyFont="1" applyFill="1" applyBorder="1" applyAlignment="1" applyProtection="1">
      <alignment vertical="center"/>
    </xf>
    <xf numFmtId="0" fontId="4" fillId="10" borderId="1" xfId="0" applyFont="1" applyFill="1" applyBorder="1" applyAlignment="1" applyProtection="1">
      <alignment vertical="center"/>
    </xf>
    <xf numFmtId="0" fontId="0" fillId="9" borderId="1" xfId="0" applyFill="1" applyBorder="1" applyAlignment="1" applyProtection="1">
      <alignment vertical="center"/>
    </xf>
    <xf numFmtId="164" fontId="22" fillId="2" borderId="33" xfId="0" applyNumberFormat="1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right" vertical="center"/>
    </xf>
    <xf numFmtId="4" fontId="0" fillId="0" borderId="31" xfId="0" applyNumberFormat="1" applyBorder="1" applyAlignment="1" applyProtection="1">
      <alignment vertical="center"/>
    </xf>
    <xf numFmtId="0" fontId="4" fillId="0" borderId="33" xfId="0" applyFont="1" applyFill="1" applyBorder="1" applyAlignment="1" applyProtection="1">
      <alignment vertical="center"/>
    </xf>
    <xf numFmtId="0" fontId="4" fillId="9" borderId="15" xfId="0" applyFont="1" applyFill="1" applyBorder="1" applyAlignment="1" applyProtection="1">
      <alignment vertical="center"/>
    </xf>
    <xf numFmtId="0" fontId="4" fillId="0" borderId="15" xfId="0" applyFont="1" applyFill="1" applyBorder="1" applyAlignment="1" applyProtection="1">
      <alignment vertical="center"/>
    </xf>
    <xf numFmtId="0" fontId="0" fillId="0" borderId="15" xfId="0" applyFill="1" applyBorder="1" applyAlignment="1" applyProtection="1">
      <alignment vertical="center"/>
    </xf>
    <xf numFmtId="0" fontId="4" fillId="9" borderId="16" xfId="0" applyFont="1" applyFill="1" applyBorder="1" applyAlignment="1" applyProtection="1">
      <alignment vertical="center"/>
    </xf>
    <xf numFmtId="0" fontId="4" fillId="0" borderId="16" xfId="0" applyFont="1" applyFill="1" applyBorder="1" applyAlignment="1" applyProtection="1">
      <alignment vertical="center"/>
    </xf>
    <xf numFmtId="0" fontId="0" fillId="0" borderId="16" xfId="0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 wrapText="1"/>
    </xf>
    <xf numFmtId="0" fontId="26" fillId="0" borderId="13" xfId="0" applyFont="1" applyBorder="1" applyAlignment="1" applyProtection="1">
      <alignment horizontal="right" vertical="center"/>
    </xf>
    <xf numFmtId="0" fontId="33" fillId="2" borderId="1" xfId="0" applyFont="1" applyFill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/>
    </xf>
    <xf numFmtId="0" fontId="22" fillId="0" borderId="33" xfId="0" applyFont="1" applyFill="1" applyBorder="1" applyAlignment="1" applyProtection="1">
      <alignment horizontal="center" vertical="center"/>
    </xf>
    <xf numFmtId="0" fontId="22" fillId="0" borderId="33" xfId="0" applyFont="1" applyBorder="1" applyAlignment="1" applyProtection="1">
      <alignment horizontal="center" vertical="center" wrapText="1"/>
    </xf>
    <xf numFmtId="4" fontId="13" fillId="0" borderId="1" xfId="0" applyNumberFormat="1" applyFont="1" applyFill="1" applyBorder="1" applyAlignment="1" applyProtection="1">
      <alignment horizontal="center" vertical="center"/>
    </xf>
    <xf numFmtId="4" fontId="13" fillId="3" borderId="1" xfId="0" applyNumberFormat="1" applyFont="1" applyFill="1" applyBorder="1" applyAlignment="1" applyProtection="1">
      <alignment horizontal="center" vertical="center"/>
    </xf>
    <xf numFmtId="169" fontId="12" fillId="0" borderId="1" xfId="0" applyNumberFormat="1" applyFont="1" applyFill="1" applyBorder="1" applyAlignment="1" applyProtection="1">
      <alignment horizontal="center" vertical="center" wrapText="1"/>
    </xf>
    <xf numFmtId="179" fontId="12" fillId="8" borderId="1" xfId="3267" applyNumberFormat="1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178" fontId="12" fillId="8" borderId="1" xfId="3267" applyNumberFormat="1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</xf>
    <xf numFmtId="169" fontId="12" fillId="0" borderId="1" xfId="0" applyNumberFormat="1" applyFont="1" applyFill="1" applyBorder="1" applyAlignment="1">
      <alignment vertical="center"/>
    </xf>
    <xf numFmtId="0" fontId="12" fillId="0" borderId="1" xfId="0" applyFont="1" applyFill="1" applyBorder="1" applyAlignment="1" applyProtection="1">
      <alignment vertical="center"/>
    </xf>
    <xf numFmtId="0" fontId="0" fillId="8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 wrapText="1"/>
    </xf>
    <xf numFmtId="169" fontId="12" fillId="0" borderId="1" xfId="6" applyNumberFormat="1" applyFont="1" applyFill="1" applyBorder="1" applyAlignment="1">
      <alignment vertical="center"/>
    </xf>
    <xf numFmtId="178" fontId="0" fillId="8" borderId="1" xfId="0" applyNumberFormat="1" applyFont="1" applyFill="1" applyBorder="1" applyAlignment="1">
      <alignment horizontal="right" vertical="top" wrapText="1"/>
    </xf>
    <xf numFmtId="0" fontId="18" fillId="3" borderId="1" xfId="0" applyFont="1" applyFill="1" applyBorder="1" applyAlignment="1" applyProtection="1">
      <alignment vertical="center"/>
    </xf>
    <xf numFmtId="165" fontId="0" fillId="0" borderId="1" xfId="0" applyNumberFormat="1" applyBorder="1" applyAlignment="1" applyProtection="1">
      <alignment horizontal="center" vertical="center"/>
    </xf>
    <xf numFmtId="169" fontId="0" fillId="0" borderId="6" xfId="0" applyNumberFormat="1" applyBorder="1" applyAlignment="1" applyProtection="1">
      <alignment horizontal="center" vertical="center"/>
    </xf>
    <xf numFmtId="168" fontId="25" fillId="0" borderId="6" xfId="1" applyNumberFormat="1" applyFont="1" applyFill="1" applyBorder="1" applyAlignment="1" applyProtection="1">
      <alignment horizontal="center" vertical="center"/>
    </xf>
    <xf numFmtId="165" fontId="25" fillId="0" borderId="6" xfId="0" applyNumberFormat="1" applyFont="1" applyFill="1" applyBorder="1" applyAlignment="1" applyProtection="1">
      <alignment horizontal="center" vertical="center"/>
    </xf>
    <xf numFmtId="165" fontId="25" fillId="0" borderId="6" xfId="1" applyNumberFormat="1" applyFont="1" applyFill="1" applyBorder="1" applyAlignment="1" applyProtection="1">
      <alignment horizontal="center" vertical="center"/>
    </xf>
    <xf numFmtId="173" fontId="25" fillId="0" borderId="6" xfId="0" applyNumberFormat="1" applyFont="1" applyFill="1" applyBorder="1" applyAlignment="1" applyProtection="1">
      <alignment horizontal="center" vertical="center"/>
    </xf>
    <xf numFmtId="173" fontId="25" fillId="0" borderId="6" xfId="1" applyNumberFormat="1" applyFont="1" applyFill="1" applyBorder="1" applyAlignment="1" applyProtection="1">
      <alignment horizontal="center" vertical="center"/>
    </xf>
    <xf numFmtId="0" fontId="25" fillId="0" borderId="1" xfId="0" applyFont="1" applyBorder="1" applyAlignment="1" applyProtection="1">
      <alignment horizontal="center" vertical="center"/>
    </xf>
    <xf numFmtId="0" fontId="22" fillId="0" borderId="1" xfId="0" applyFont="1" applyBorder="1" applyAlignment="1" applyProtection="1">
      <alignment horizontal="center" vertical="center"/>
    </xf>
    <xf numFmtId="0" fontId="25" fillId="0" borderId="1" xfId="0" applyFont="1" applyBorder="1" applyAlignment="1" applyProtection="1">
      <alignment horizontal="center" vertical="center" wrapText="1"/>
    </xf>
    <xf numFmtId="0" fontId="25" fillId="0" borderId="1" xfId="0" applyFont="1" applyFill="1" applyBorder="1" applyAlignment="1" applyProtection="1">
      <alignment horizontal="center" vertical="center"/>
    </xf>
    <xf numFmtId="0" fontId="22" fillId="2" borderId="6" xfId="0" applyFont="1" applyFill="1" applyBorder="1" applyAlignment="1" applyProtection="1">
      <alignment horizontal="center" vertical="center"/>
    </xf>
    <xf numFmtId="169" fontId="22" fillId="0" borderId="34" xfId="0" applyNumberFormat="1" applyFont="1" applyBorder="1" applyAlignment="1" applyProtection="1">
      <alignment horizontal="center" vertical="center"/>
    </xf>
    <xf numFmtId="0" fontId="34" fillId="0" borderId="0" xfId="0" applyFont="1" applyFill="1" applyBorder="1" applyAlignment="1" applyProtection="1">
      <alignment vertical="center"/>
    </xf>
    <xf numFmtId="169" fontId="0" fillId="0" borderId="6" xfId="0" applyNumberFormat="1" applyFill="1" applyBorder="1" applyAlignment="1" applyProtection="1">
      <alignment horizontal="center" vertical="center"/>
    </xf>
    <xf numFmtId="169" fontId="25" fillId="0" borderId="0" xfId="1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Alignment="1" applyProtection="1">
      <alignment horizontal="right" vertical="center"/>
    </xf>
    <xf numFmtId="0" fontId="22" fillId="0" borderId="0" xfId="0" applyFont="1" applyFill="1" applyBorder="1" applyAlignment="1" applyProtection="1">
      <alignment horizontal="right" vertical="center"/>
    </xf>
    <xf numFmtId="165" fontId="0" fillId="0" borderId="0" xfId="0" applyNumberFormat="1" applyFill="1" applyBorder="1" applyAlignment="1" applyProtection="1">
      <alignment horizontal="center" vertical="center"/>
    </xf>
    <xf numFmtId="168" fontId="25" fillId="0" borderId="0" xfId="1" applyNumberFormat="1" applyFont="1" applyFill="1" applyBorder="1" applyAlignment="1" applyProtection="1">
      <alignment horizontal="center" vertical="center"/>
    </xf>
    <xf numFmtId="165" fontId="22" fillId="0" borderId="0" xfId="0" applyNumberFormat="1" applyFont="1" applyFill="1" applyBorder="1" applyAlignment="1" applyProtection="1">
      <alignment horizontal="center" vertical="center"/>
    </xf>
    <xf numFmtId="165" fontId="25" fillId="0" borderId="0" xfId="0" applyNumberFormat="1" applyFont="1" applyFill="1" applyBorder="1" applyAlignment="1" applyProtection="1">
      <alignment horizontal="center" vertical="center"/>
    </xf>
    <xf numFmtId="165" fontId="25" fillId="0" borderId="0" xfId="1" applyNumberFormat="1" applyFont="1" applyFill="1" applyBorder="1" applyAlignment="1" applyProtection="1">
      <alignment horizontal="center" vertical="center"/>
    </xf>
    <xf numFmtId="173" fontId="25" fillId="0" borderId="0" xfId="0" applyNumberFormat="1" applyFont="1" applyFill="1" applyBorder="1" applyAlignment="1" applyProtection="1">
      <alignment horizontal="center" vertical="center"/>
    </xf>
    <xf numFmtId="173" fontId="25" fillId="0" borderId="0" xfId="1" applyNumberFormat="1" applyFont="1" applyFill="1" applyBorder="1" applyAlignment="1" applyProtection="1">
      <alignment horizontal="center" vertical="center"/>
    </xf>
    <xf numFmtId="169" fontId="21" fillId="0" borderId="0" xfId="0" applyNumberFormat="1" applyFont="1" applyFill="1" applyBorder="1" applyAlignment="1" applyProtection="1">
      <alignment horizontal="right" vertical="center"/>
    </xf>
    <xf numFmtId="169" fontId="0" fillId="0" borderId="0" xfId="0" applyNumberFormat="1" applyFill="1" applyBorder="1" applyAlignment="1" applyProtection="1">
      <alignment horizontal="center" vertical="center"/>
    </xf>
    <xf numFmtId="169" fontId="20" fillId="0" borderId="0" xfId="0" applyNumberFormat="1" applyFont="1" applyFill="1" applyBorder="1" applyAlignment="1" applyProtection="1">
      <alignment horizontal="center" vertical="center"/>
    </xf>
    <xf numFmtId="169" fontId="3" fillId="0" borderId="0" xfId="0" applyNumberFormat="1" applyFont="1" applyFill="1" applyBorder="1" applyAlignment="1" applyProtection="1">
      <alignment vertical="center"/>
    </xf>
    <xf numFmtId="0" fontId="9" fillId="0" borderId="41" xfId="0" applyFont="1" applyFill="1" applyBorder="1" applyAlignment="1" applyProtection="1">
      <alignment horizontal="left" vertical="center"/>
    </xf>
    <xf numFmtId="0" fontId="22" fillId="2" borderId="42" xfId="0" applyFont="1" applyFill="1" applyBorder="1" applyAlignment="1" applyProtection="1">
      <alignment horizontal="center" vertical="center"/>
    </xf>
    <xf numFmtId="169" fontId="0" fillId="0" borderId="42" xfId="0" applyNumberFormat="1" applyBorder="1" applyAlignment="1" applyProtection="1">
      <alignment horizontal="center" vertical="center"/>
    </xf>
    <xf numFmtId="0" fontId="22" fillId="2" borderId="41" xfId="0" applyFont="1" applyFill="1" applyBorder="1" applyAlignment="1" applyProtection="1">
      <alignment horizontal="center" vertical="center"/>
    </xf>
    <xf numFmtId="169" fontId="25" fillId="0" borderId="42" xfId="1" applyNumberFormat="1" applyFont="1" applyFill="1" applyBorder="1" applyAlignment="1" applyProtection="1">
      <alignment horizontal="center" vertical="center"/>
    </xf>
    <xf numFmtId="166" fontId="3" fillId="0" borderId="21" xfId="0" applyNumberFormat="1" applyFont="1" applyFill="1" applyBorder="1" applyAlignment="1" applyProtection="1">
      <alignment horizontal="center" vertical="center"/>
    </xf>
    <xf numFmtId="0" fontId="25" fillId="0" borderId="13" xfId="0" applyFont="1" applyBorder="1" applyAlignment="1" applyProtection="1">
      <alignment vertical="center"/>
    </xf>
    <xf numFmtId="0" fontId="25" fillId="0" borderId="0" xfId="0" applyFont="1" applyBorder="1" applyAlignment="1" applyProtection="1">
      <alignment vertical="center"/>
    </xf>
    <xf numFmtId="0" fontId="25" fillId="0" borderId="5" xfId="0" applyFont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right" vertical="center" wrapText="1"/>
    </xf>
    <xf numFmtId="0" fontId="22" fillId="0" borderId="5" xfId="0" applyFont="1" applyBorder="1" applyAlignment="1" applyProtection="1">
      <alignment vertical="center"/>
    </xf>
    <xf numFmtId="169" fontId="21" fillId="0" borderId="9" xfId="0" applyNumberFormat="1" applyFont="1" applyBorder="1" applyAlignment="1" applyProtection="1">
      <alignment vertical="center"/>
    </xf>
    <xf numFmtId="169" fontId="21" fillId="0" borderId="10" xfId="0" applyNumberFormat="1" applyFont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171" fontId="22" fillId="0" borderId="0" xfId="0" applyNumberFormat="1" applyFont="1" applyFill="1" applyBorder="1" applyAlignment="1" applyProtection="1">
      <alignment horizontal="center" vertical="center"/>
    </xf>
    <xf numFmtId="168" fontId="25" fillId="0" borderId="0" xfId="0" applyNumberFormat="1" applyFont="1" applyFill="1" applyBorder="1" applyAlignment="1" applyProtection="1">
      <alignment horizontal="center" vertical="center"/>
    </xf>
    <xf numFmtId="0" fontId="25" fillId="0" borderId="0" xfId="0" applyFont="1" applyFill="1" applyBorder="1" applyAlignment="1" applyProtection="1">
      <alignment vertical="center"/>
    </xf>
    <xf numFmtId="166" fontId="22" fillId="0" borderId="0" xfId="0" applyNumberFormat="1" applyFont="1" applyFill="1" applyBorder="1" applyAlignment="1" applyProtection="1">
      <alignment vertical="center"/>
    </xf>
    <xf numFmtId="169" fontId="25" fillId="0" borderId="0" xfId="0" applyNumberFormat="1" applyFont="1" applyFill="1" applyBorder="1" applyAlignment="1" applyProtection="1">
      <alignment horizontal="center" vertical="center"/>
    </xf>
    <xf numFmtId="169" fontId="22" fillId="0" borderId="0" xfId="0" applyNumberFormat="1" applyFont="1" applyFill="1" applyBorder="1" applyAlignment="1" applyProtection="1">
      <alignment horizontal="center" vertical="center"/>
    </xf>
    <xf numFmtId="0" fontId="0" fillId="0" borderId="9" xfId="0" applyFill="1" applyBorder="1" applyAlignment="1" applyProtection="1">
      <alignment vertical="center"/>
    </xf>
    <xf numFmtId="165" fontId="22" fillId="0" borderId="33" xfId="0" applyNumberFormat="1" applyFont="1" applyBorder="1" applyAlignment="1" applyProtection="1">
      <alignment horizontal="center" vertical="center"/>
    </xf>
    <xf numFmtId="169" fontId="0" fillId="0" borderId="0" xfId="0" applyNumberFormat="1" applyBorder="1" applyAlignment="1" applyProtection="1">
      <alignment horizontal="center" vertical="center"/>
    </xf>
    <xf numFmtId="169" fontId="3" fillId="0" borderId="0" xfId="0" applyNumberFormat="1" applyFont="1" applyFill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167" fontId="0" fillId="0" borderId="0" xfId="0" applyNumberFormat="1" applyFill="1" applyBorder="1" applyAlignment="1" applyProtection="1">
      <alignment horizontal="center" vertical="center"/>
    </xf>
    <xf numFmtId="166" fontId="3" fillId="0" borderId="21" xfId="0" applyNumberFormat="1" applyFont="1" applyBorder="1" applyAlignment="1" applyProtection="1">
      <alignment horizontal="center" vertical="center"/>
    </xf>
    <xf numFmtId="169" fontId="3" fillId="0" borderId="23" xfId="0" applyNumberFormat="1" applyFont="1" applyBorder="1" applyAlignment="1" applyProtection="1">
      <alignment horizontal="center" vertical="center"/>
    </xf>
    <xf numFmtId="168" fontId="25" fillId="0" borderId="6" xfId="0" applyNumberFormat="1" applyFont="1" applyFill="1" applyBorder="1" applyAlignment="1" applyProtection="1">
      <alignment horizontal="center" vertical="center"/>
    </xf>
    <xf numFmtId="169" fontId="22" fillId="0" borderId="43" xfId="0" applyNumberFormat="1" applyFont="1" applyFill="1" applyBorder="1" applyAlignment="1" applyProtection="1">
      <alignment horizontal="center" vertical="center"/>
    </xf>
    <xf numFmtId="169" fontId="22" fillId="0" borderId="42" xfId="0" applyNumberFormat="1" applyFont="1" applyFill="1" applyBorder="1" applyAlignment="1" applyProtection="1">
      <alignment horizontal="center" vertical="center"/>
    </xf>
    <xf numFmtId="169" fontId="25" fillId="0" borderId="42" xfId="0" applyNumberFormat="1" applyFont="1" applyFill="1" applyBorder="1" applyAlignment="1" applyProtection="1">
      <alignment horizontal="center" vertical="center"/>
    </xf>
    <xf numFmtId="169" fontId="20" fillId="0" borderId="23" xfId="0" applyNumberFormat="1" applyFont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vertical="center"/>
    </xf>
    <xf numFmtId="4" fontId="0" fillId="0" borderId="32" xfId="0" applyNumberFormat="1" applyBorder="1" applyAlignment="1" applyProtection="1">
      <alignment vertical="center"/>
    </xf>
    <xf numFmtId="164" fontId="25" fillId="0" borderId="6" xfId="0" applyNumberFormat="1" applyFont="1" applyBorder="1" applyAlignment="1" applyProtection="1">
      <alignment vertical="center"/>
    </xf>
    <xf numFmtId="164" fontId="25" fillId="0" borderId="12" xfId="0" applyNumberFormat="1" applyFont="1" applyBorder="1" applyAlignment="1" applyProtection="1">
      <alignment vertical="center"/>
    </xf>
    <xf numFmtId="0" fontId="36" fillId="0" borderId="33" xfId="0" applyFont="1" applyBorder="1" applyAlignment="1" applyProtection="1">
      <alignment horizontal="center" vertical="center"/>
    </xf>
    <xf numFmtId="0" fontId="36" fillId="0" borderId="1" xfId="0" applyFont="1" applyBorder="1" applyAlignment="1" applyProtection="1">
      <alignment horizontal="center" vertical="center"/>
    </xf>
    <xf numFmtId="0" fontId="25" fillId="0" borderId="27" xfId="0" applyFont="1" applyFill="1" applyBorder="1" applyAlignment="1" applyProtection="1">
      <alignment horizontal="right" vertical="center"/>
    </xf>
    <xf numFmtId="164" fontId="25" fillId="0" borderId="0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169" fontId="22" fillId="0" borderId="33" xfId="0" applyNumberFormat="1" applyFont="1" applyBorder="1" applyAlignment="1" applyProtection="1">
      <alignment vertical="center"/>
    </xf>
    <xf numFmtId="0" fontId="25" fillId="0" borderId="7" xfId="0" applyFont="1" applyFill="1" applyBorder="1" applyAlignment="1" applyProtection="1">
      <alignment horizontal="right" vertical="center"/>
    </xf>
    <xf numFmtId="164" fontId="25" fillId="0" borderId="6" xfId="0" applyNumberFormat="1" applyFont="1" applyFill="1" applyBorder="1" applyAlignment="1" applyProtection="1">
      <alignment horizontal="center" vertical="center"/>
    </xf>
    <xf numFmtId="169" fontId="25" fillId="0" borderId="23" xfId="1" applyNumberFormat="1" applyFont="1" applyFill="1" applyBorder="1" applyAlignment="1" applyProtection="1">
      <alignment horizontal="center" vertical="center"/>
    </xf>
    <xf numFmtId="0" fontId="35" fillId="0" borderId="0" xfId="0" applyFont="1" applyFill="1" applyAlignment="1" applyProtection="1">
      <alignment vertical="center"/>
    </xf>
    <xf numFmtId="0" fontId="39" fillId="0" borderId="0" xfId="0" applyFont="1" applyFill="1" applyBorder="1" applyAlignment="1" applyProtection="1">
      <alignment vertical="center"/>
    </xf>
    <xf numFmtId="0" fontId="22" fillId="0" borderId="0" xfId="0" applyFont="1" applyFill="1" applyBorder="1" applyAlignment="1" applyProtection="1">
      <alignment horizontal="center" vertical="center" wrapText="1"/>
    </xf>
    <xf numFmtId="0" fontId="9" fillId="0" borderId="38" xfId="0" applyFont="1" applyFill="1" applyBorder="1" applyAlignment="1" applyProtection="1">
      <alignment vertical="center"/>
    </xf>
    <xf numFmtId="169" fontId="25" fillId="0" borderId="46" xfId="1" applyNumberFormat="1" applyFont="1" applyFill="1" applyBorder="1" applyAlignment="1" applyProtection="1">
      <alignment horizontal="center" vertical="center"/>
    </xf>
    <xf numFmtId="164" fontId="25" fillId="0" borderId="6" xfId="0" applyNumberFormat="1" applyFont="1" applyFill="1" applyBorder="1" applyAlignment="1" applyProtection="1">
      <alignment vertical="center"/>
    </xf>
    <xf numFmtId="164" fontId="25" fillId="0" borderId="12" xfId="0" applyNumberFormat="1" applyFont="1" applyFill="1" applyBorder="1" applyAlignment="1" applyProtection="1">
      <alignment vertical="center"/>
    </xf>
    <xf numFmtId="0" fontId="9" fillId="0" borderId="3" xfId="0" applyFont="1" applyFill="1" applyBorder="1" applyAlignment="1" applyProtection="1">
      <alignment horizontal="center" vertical="center"/>
    </xf>
    <xf numFmtId="166" fontId="0" fillId="0" borderId="34" xfId="0" applyNumberForma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left" vertical="center"/>
    </xf>
    <xf numFmtId="169" fontId="25" fillId="0" borderId="0" xfId="1" applyNumberFormat="1" applyFont="1" applyFill="1" applyBorder="1" applyAlignment="1" applyProtection="1">
      <alignment horizontal="left" vertical="center"/>
    </xf>
    <xf numFmtId="169" fontId="25" fillId="0" borderId="0" xfId="0" applyNumberFormat="1" applyFont="1" applyFill="1" applyBorder="1" applyAlignment="1" applyProtection="1">
      <alignment horizontal="left" vertical="center"/>
    </xf>
    <xf numFmtId="169" fontId="22" fillId="0" borderId="0" xfId="0" applyNumberFormat="1" applyFont="1" applyFill="1" applyBorder="1" applyAlignment="1" applyProtection="1">
      <alignment horizontal="left" vertical="center"/>
    </xf>
    <xf numFmtId="169" fontId="20" fillId="0" borderId="0" xfId="0" applyNumberFormat="1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left" vertical="center"/>
    </xf>
    <xf numFmtId="167" fontId="0" fillId="0" borderId="0" xfId="0" applyNumberFormat="1" applyFill="1" applyBorder="1" applyAlignment="1" applyProtection="1">
      <alignment horizontal="left" vertical="center"/>
    </xf>
    <xf numFmtId="165" fontId="4" fillId="0" borderId="1" xfId="0" applyNumberFormat="1" applyFont="1" applyFill="1" applyBorder="1" applyAlignment="1" applyProtection="1">
      <alignment vertical="center"/>
    </xf>
    <xf numFmtId="171" fontId="4" fillId="0" borderId="1" xfId="0" applyNumberFormat="1" applyFont="1" applyFill="1" applyBorder="1" applyAlignment="1" applyProtection="1">
      <alignment vertical="center"/>
    </xf>
    <xf numFmtId="0" fontId="28" fillId="0" borderId="17" xfId="0" applyFont="1" applyFill="1" applyBorder="1" applyAlignment="1" applyProtection="1">
      <alignment horizontal="left" vertical="center"/>
    </xf>
    <xf numFmtId="169" fontId="22" fillId="0" borderId="2" xfId="0" applyNumberFormat="1" applyFont="1" applyFill="1" applyBorder="1" applyAlignment="1" applyProtection="1">
      <alignment horizontal="left" vertical="center"/>
    </xf>
    <xf numFmtId="169" fontId="0" fillId="0" borderId="7" xfId="0" applyNumberFormat="1" applyFill="1" applyBorder="1" applyAlignment="1" applyProtection="1">
      <alignment horizontal="left" vertical="center"/>
    </xf>
    <xf numFmtId="0" fontId="0" fillId="0" borderId="17" xfId="0" applyFill="1" applyBorder="1" applyAlignment="1" applyProtection="1">
      <alignment horizontal="left" vertical="center"/>
    </xf>
    <xf numFmtId="169" fontId="25" fillId="0" borderId="2" xfId="1" applyNumberFormat="1" applyFont="1" applyFill="1" applyBorder="1" applyAlignment="1" applyProtection="1">
      <alignment horizontal="left" vertical="center"/>
    </xf>
    <xf numFmtId="169" fontId="25" fillId="0" borderId="7" xfId="0" applyNumberFormat="1" applyFont="1" applyFill="1" applyBorder="1" applyAlignment="1" applyProtection="1">
      <alignment horizontal="left" vertical="center"/>
    </xf>
    <xf numFmtId="0" fontId="22" fillId="0" borderId="2" xfId="0" applyFont="1" applyFill="1" applyBorder="1" applyAlignment="1" applyProtection="1">
      <alignment horizontal="center" vertical="center"/>
    </xf>
    <xf numFmtId="169" fontId="0" fillId="0" borderId="2" xfId="0" applyNumberFormat="1" applyFill="1" applyBorder="1" applyAlignment="1" applyProtection="1">
      <alignment horizontal="left" vertical="center"/>
    </xf>
    <xf numFmtId="169" fontId="20" fillId="0" borderId="7" xfId="0" applyNumberFormat="1" applyFont="1" applyFill="1" applyBorder="1" applyAlignment="1" applyProtection="1">
      <alignment horizontal="center" vertical="center"/>
    </xf>
    <xf numFmtId="0" fontId="0" fillId="0" borderId="17" xfId="0" applyFill="1" applyBorder="1" applyAlignment="1" applyProtection="1">
      <alignment vertical="center"/>
    </xf>
    <xf numFmtId="169" fontId="25" fillId="0" borderId="7" xfId="1" applyNumberFormat="1" applyFont="1" applyFill="1" applyBorder="1" applyAlignment="1" applyProtection="1">
      <alignment horizontal="center" vertical="center"/>
    </xf>
    <xf numFmtId="0" fontId="21" fillId="0" borderId="0" xfId="0" applyFont="1" applyBorder="1" applyAlignment="1" applyProtection="1">
      <alignment vertical="center"/>
    </xf>
    <xf numFmtId="169" fontId="7" fillId="0" borderId="21" xfId="0" applyNumberFormat="1" applyFont="1" applyBorder="1" applyAlignment="1" applyProtection="1">
      <alignment horizontal="right" vertical="center"/>
    </xf>
    <xf numFmtId="0" fontId="22" fillId="2" borderId="2" xfId="0" applyFont="1" applyFill="1" applyBorder="1" applyAlignment="1" applyProtection="1">
      <alignment horizontal="center" vertical="center"/>
    </xf>
    <xf numFmtId="0" fontId="22" fillId="2" borderId="1" xfId="0" applyFont="1" applyFill="1" applyBorder="1" applyAlignment="1" applyProtection="1">
      <alignment horizontal="center" vertical="center"/>
    </xf>
    <xf numFmtId="0" fontId="9" fillId="0" borderId="17" xfId="0" applyFont="1" applyFill="1" applyBorder="1" applyAlignment="1" applyProtection="1">
      <alignment horizontal="left" vertical="center"/>
    </xf>
    <xf numFmtId="0" fontId="9" fillId="0" borderId="18" xfId="0" applyFont="1" applyFill="1" applyBorder="1" applyAlignment="1" applyProtection="1">
      <alignment horizontal="left" vertical="center"/>
    </xf>
    <xf numFmtId="0" fontId="9" fillId="0" borderId="19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left" vertical="center"/>
    </xf>
    <xf numFmtId="164" fontId="0" fillId="0" borderId="1" xfId="0" applyNumberFormat="1" applyBorder="1" applyAlignment="1" applyProtection="1">
      <alignment horizontal="center" vertical="center"/>
    </xf>
    <xf numFmtId="166" fontId="0" fillId="0" borderId="6" xfId="0" applyNumberFormat="1" applyBorder="1" applyAlignment="1" applyProtection="1">
      <alignment horizontal="center" vertical="center"/>
    </xf>
    <xf numFmtId="165" fontId="0" fillId="0" borderId="1" xfId="0" applyNumberFormat="1" applyFill="1" applyBorder="1" applyAlignment="1" applyProtection="1">
      <alignment horizontal="center" vertical="center"/>
    </xf>
    <xf numFmtId="0" fontId="26" fillId="0" borderId="0" xfId="0" applyFont="1" applyBorder="1" applyAlignment="1" applyProtection="1">
      <alignment horizontal="right" vertical="center"/>
    </xf>
    <xf numFmtId="0" fontId="22" fillId="0" borderId="2" xfId="0" applyFont="1" applyBorder="1" applyAlignment="1" applyProtection="1">
      <alignment vertical="center"/>
    </xf>
    <xf numFmtId="0" fontId="22" fillId="0" borderId="1" xfId="0" applyFont="1" applyBorder="1" applyAlignment="1" applyProtection="1">
      <alignment vertical="center"/>
    </xf>
    <xf numFmtId="0" fontId="22" fillId="0" borderId="2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166" fontId="0" fillId="0" borderId="6" xfId="0" applyNumberForma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left" vertical="center"/>
    </xf>
    <xf numFmtId="0" fontId="26" fillId="0" borderId="1" xfId="0" applyFont="1" applyBorder="1" applyAlignment="1" applyProtection="1">
      <alignment horizontal="center" vertical="center"/>
    </xf>
    <xf numFmtId="0" fontId="26" fillId="0" borderId="0" xfId="0" applyFont="1" applyBorder="1" applyAlignment="1" applyProtection="1">
      <alignment horizontal="center" vertical="center"/>
    </xf>
    <xf numFmtId="0" fontId="9" fillId="0" borderId="13" xfId="0" applyFont="1" applyFill="1" applyBorder="1" applyAlignment="1" applyProtection="1">
      <alignment horizontal="left" vertical="center"/>
    </xf>
    <xf numFmtId="0" fontId="25" fillId="0" borderId="2" xfId="0" applyFont="1" applyFill="1" applyBorder="1" applyAlignment="1" applyProtection="1">
      <alignment vertical="center"/>
    </xf>
    <xf numFmtId="169" fontId="22" fillId="0" borderId="43" xfId="0" applyNumberFormat="1" applyFont="1" applyBorder="1" applyAlignment="1" applyProtection="1">
      <alignment horizontal="center" vertical="center"/>
    </xf>
    <xf numFmtId="165" fontId="22" fillId="0" borderId="1" xfId="0" applyNumberFormat="1" applyFont="1" applyBorder="1" applyAlignment="1" applyProtection="1">
      <alignment horizontal="center" vertical="center"/>
    </xf>
    <xf numFmtId="169" fontId="22" fillId="0" borderId="6" xfId="0" applyNumberFormat="1" applyFont="1" applyBorder="1" applyAlignment="1" applyProtection="1">
      <alignment horizontal="center" vertical="center"/>
    </xf>
    <xf numFmtId="164" fontId="22" fillId="0" borderId="1" xfId="0" applyNumberFormat="1" applyFont="1" applyBorder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0" fontId="25" fillId="0" borderId="1" xfId="0" applyFont="1" applyBorder="1" applyAlignment="1" applyProtection="1">
      <alignment horizontal="right" vertical="center"/>
    </xf>
    <xf numFmtId="164" fontId="25" fillId="0" borderId="1" xfId="0" applyNumberFormat="1" applyFont="1" applyBorder="1" applyAlignment="1" applyProtection="1">
      <alignment vertical="center"/>
    </xf>
    <xf numFmtId="164" fontId="25" fillId="0" borderId="8" xfId="0" applyNumberFormat="1" applyFont="1" applyBorder="1" applyAlignment="1" applyProtection="1">
      <alignment vertical="center"/>
    </xf>
    <xf numFmtId="0" fontId="25" fillId="0" borderId="8" xfId="0" applyFont="1" applyBorder="1" applyAlignment="1" applyProtection="1">
      <alignment horizontal="right" vertical="center"/>
    </xf>
    <xf numFmtId="182" fontId="25" fillId="0" borderId="2" xfId="0" applyNumberFormat="1" applyFont="1" applyBorder="1" applyAlignment="1" applyProtection="1">
      <alignment vertical="center"/>
    </xf>
    <xf numFmtId="172" fontId="22" fillId="0" borderId="1" xfId="0" applyNumberFormat="1" applyFont="1" applyBorder="1" applyAlignment="1" applyProtection="1">
      <alignment horizontal="center" vertical="center"/>
    </xf>
    <xf numFmtId="165" fontId="22" fillId="0" borderId="6" xfId="0" applyNumberFormat="1" applyFont="1" applyFill="1" applyBorder="1" applyAlignment="1" applyProtection="1">
      <alignment horizontal="center" vertical="center"/>
    </xf>
    <xf numFmtId="169" fontId="22" fillId="0" borderId="42" xfId="0" applyNumberFormat="1" applyFont="1" applyBorder="1" applyAlignment="1" applyProtection="1">
      <alignment horizontal="center" vertical="center"/>
    </xf>
    <xf numFmtId="165" fontId="22" fillId="0" borderId="6" xfId="0" applyNumberFormat="1" applyFont="1" applyBorder="1" applyAlignment="1" applyProtection="1">
      <alignment horizontal="center" vertical="center"/>
    </xf>
    <xf numFmtId="0" fontId="4" fillId="0" borderId="18" xfId="0" applyFont="1" applyFill="1" applyBorder="1" applyAlignment="1" applyProtection="1">
      <alignment horizontal="center" vertical="center"/>
    </xf>
    <xf numFmtId="0" fontId="25" fillId="0" borderId="0" xfId="0" applyFont="1" applyBorder="1" applyAlignment="1" applyProtection="1">
      <alignment horizontal="center" vertical="center"/>
    </xf>
    <xf numFmtId="169" fontId="21" fillId="0" borderId="9" xfId="0" applyNumberFormat="1" applyFont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164" fontId="25" fillId="0" borderId="6" xfId="0" applyNumberFormat="1" applyFont="1" applyBorder="1" applyAlignment="1" applyProtection="1">
      <alignment horizontal="center" vertical="center"/>
    </xf>
    <xf numFmtId="164" fontId="25" fillId="0" borderId="12" xfId="0" applyNumberFormat="1" applyFont="1" applyBorder="1" applyAlignment="1" applyProtection="1">
      <alignment horizontal="center" vertical="center"/>
    </xf>
    <xf numFmtId="0" fontId="22" fillId="0" borderId="0" xfId="0" applyFont="1" applyBorder="1" applyAlignment="1" applyProtection="1">
      <alignment horizontal="center" vertical="center"/>
    </xf>
    <xf numFmtId="0" fontId="0" fillId="0" borderId="20" xfId="0" applyBorder="1" applyAlignment="1" applyProtection="1">
      <alignment vertical="center"/>
    </xf>
    <xf numFmtId="0" fontId="0" fillId="0" borderId="33" xfId="0" applyBorder="1" applyAlignment="1" applyProtection="1">
      <alignment vertical="center"/>
    </xf>
    <xf numFmtId="0" fontId="0" fillId="0" borderId="20" xfId="0" applyFont="1" applyFill="1" applyBorder="1" applyAlignment="1" applyProtection="1">
      <alignment vertical="center"/>
    </xf>
    <xf numFmtId="0" fontId="0" fillId="0" borderId="33" xfId="0" applyFont="1" applyFill="1" applyBorder="1" applyAlignment="1" applyProtection="1">
      <alignment vertical="center"/>
    </xf>
    <xf numFmtId="0" fontId="4" fillId="0" borderId="11" xfId="0" applyFont="1" applyFill="1" applyBorder="1" applyAlignment="1" applyProtection="1">
      <alignment vertical="center"/>
    </xf>
    <xf numFmtId="0" fontId="0" fillId="0" borderId="4" xfId="0" applyFill="1" applyBorder="1" applyAlignment="1" applyProtection="1">
      <alignment vertical="center"/>
    </xf>
    <xf numFmtId="169" fontId="0" fillId="0" borderId="1" xfId="0" applyNumberFormat="1" applyFill="1" applyBorder="1" applyAlignment="1" applyProtection="1">
      <alignment horizontal="center" vertical="center"/>
    </xf>
    <xf numFmtId="169" fontId="25" fillId="0" borderId="51" xfId="1" applyNumberFormat="1" applyFont="1" applyFill="1" applyBorder="1" applyAlignment="1" applyProtection="1">
      <alignment horizontal="center" vertical="center"/>
    </xf>
    <xf numFmtId="0" fontId="26" fillId="0" borderId="14" xfId="0" applyFont="1" applyBorder="1" applyAlignment="1" applyProtection="1">
      <alignment vertical="center"/>
    </xf>
    <xf numFmtId="0" fontId="26" fillId="0" borderId="9" xfId="0" applyFont="1" applyBorder="1" applyAlignment="1" applyProtection="1">
      <alignment horizontal="left" vertical="center"/>
    </xf>
    <xf numFmtId="0" fontId="26" fillId="0" borderId="9" xfId="0" applyFont="1" applyFill="1" applyBorder="1" applyAlignment="1" applyProtection="1">
      <alignment vertical="center"/>
    </xf>
    <xf numFmtId="0" fontId="26" fillId="0" borderId="21" xfId="0" applyFont="1" applyBorder="1" applyAlignment="1" applyProtection="1">
      <alignment horizontal="center" vertical="center"/>
    </xf>
    <xf numFmtId="181" fontId="21" fillId="0" borderId="21" xfId="0" applyNumberFormat="1" applyFont="1" applyFill="1" applyBorder="1" applyAlignment="1" applyProtection="1">
      <alignment horizontal="center" vertical="center"/>
    </xf>
    <xf numFmtId="169" fontId="22" fillId="0" borderId="52" xfId="0" applyNumberFormat="1" applyFont="1" applyBorder="1" applyAlignment="1" applyProtection="1">
      <alignment horizontal="center" vertical="center"/>
    </xf>
    <xf numFmtId="0" fontId="28" fillId="0" borderId="17" xfId="0" applyFont="1" applyFill="1" applyBorder="1" applyAlignment="1" applyProtection="1">
      <alignment horizontal="right" vertical="center"/>
    </xf>
    <xf numFmtId="169" fontId="3" fillId="0" borderId="7" xfId="0" applyNumberFormat="1" applyFont="1" applyFill="1" applyBorder="1" applyAlignment="1" applyProtection="1">
      <alignment horizontal="left" vertical="center"/>
    </xf>
    <xf numFmtId="167" fontId="0" fillId="0" borderId="17" xfId="0" applyNumberFormat="1" applyFill="1" applyBorder="1" applyAlignment="1" applyProtection="1">
      <alignment horizontal="left" vertical="center"/>
    </xf>
    <xf numFmtId="169" fontId="25" fillId="0" borderId="2" xfId="0" applyNumberFormat="1" applyFont="1" applyFill="1" applyBorder="1" applyAlignment="1" applyProtection="1">
      <alignment horizontal="left" vertical="center"/>
    </xf>
    <xf numFmtId="169" fontId="25" fillId="0" borderId="7" xfId="0" applyNumberFormat="1" applyFont="1" applyFill="1" applyBorder="1" applyAlignment="1" applyProtection="1">
      <alignment horizontal="center" vertical="center"/>
    </xf>
    <xf numFmtId="166" fontId="0" fillId="0" borderId="34" xfId="0" applyNumberFormat="1" applyBorder="1" applyAlignment="1" applyProtection="1">
      <alignment horizontal="center" vertical="center"/>
    </xf>
    <xf numFmtId="169" fontId="3" fillId="0" borderId="7" xfId="0" applyNumberFormat="1" applyFont="1" applyFill="1" applyBorder="1" applyAlignment="1" applyProtection="1">
      <alignment horizontal="center" vertical="center"/>
    </xf>
    <xf numFmtId="180" fontId="28" fillId="0" borderId="28" xfId="0" applyNumberFormat="1" applyFont="1" applyBorder="1" applyAlignment="1" applyProtection="1">
      <alignment horizontal="center"/>
    </xf>
    <xf numFmtId="180" fontId="28" fillId="0" borderId="28" xfId="0" applyNumberFormat="1" applyFont="1" applyBorder="1" applyAlignment="1" applyProtection="1">
      <alignment horizontal="center" vertical="center"/>
    </xf>
    <xf numFmtId="0" fontId="28" fillId="0" borderId="28" xfId="0" applyFont="1" applyFill="1" applyBorder="1" applyAlignment="1" applyProtection="1">
      <alignment horizontal="center"/>
    </xf>
    <xf numFmtId="180" fontId="28" fillId="0" borderId="44" xfId="0" applyNumberFormat="1" applyFont="1" applyBorder="1" applyAlignment="1" applyProtection="1">
      <alignment horizontal="center" vertical="center"/>
    </xf>
    <xf numFmtId="0" fontId="28" fillId="0" borderId="29" xfId="0" applyFont="1" applyFill="1" applyBorder="1" applyAlignment="1" applyProtection="1">
      <alignment horizontal="center"/>
    </xf>
    <xf numFmtId="0" fontId="28" fillId="0" borderId="0" xfId="0" applyFont="1" applyFill="1" applyBorder="1" applyAlignment="1" applyProtection="1">
      <alignment vertical="center"/>
    </xf>
    <xf numFmtId="180" fontId="28" fillId="0" borderId="29" xfId="0" applyNumberFormat="1" applyFont="1" applyBorder="1" applyAlignment="1" applyProtection="1">
      <alignment horizontal="center" vertical="center"/>
    </xf>
    <xf numFmtId="0" fontId="28" fillId="0" borderId="29" xfId="0" applyFont="1" applyBorder="1" applyAlignment="1" applyProtection="1">
      <alignment horizontal="center"/>
    </xf>
    <xf numFmtId="0" fontId="0" fillId="0" borderId="0" xfId="0" applyBorder="1" applyAlignment="1" applyProtection="1">
      <alignment vertical="center"/>
      <protection locked="0"/>
    </xf>
    <xf numFmtId="0" fontId="14" fillId="0" borderId="1" xfId="0" applyFont="1" applyFill="1" applyBorder="1" applyAlignment="1" applyProtection="1">
      <alignment horizontal="center" vertical="center" wrapText="1"/>
    </xf>
    <xf numFmtId="0" fontId="28" fillId="6" borderId="1" xfId="0" applyFont="1" applyFill="1" applyBorder="1" applyAlignment="1" applyProtection="1">
      <alignment horizontal="center" vertical="center"/>
      <protection locked="0"/>
    </xf>
    <xf numFmtId="0" fontId="28" fillId="0" borderId="1" xfId="0" applyFont="1" applyFill="1" applyBorder="1" applyAlignment="1" applyProtection="1">
      <alignment horizontal="left" vertical="center"/>
    </xf>
    <xf numFmtId="166" fontId="22" fillId="0" borderId="2" xfId="0" applyNumberFormat="1" applyFont="1" applyBorder="1" applyAlignment="1" applyProtection="1">
      <alignment horizontal="left" vertical="center"/>
    </xf>
    <xf numFmtId="166" fontId="22" fillId="0" borderId="1" xfId="0" applyNumberFormat="1" applyFont="1" applyBorder="1" applyAlignment="1" applyProtection="1">
      <alignment horizontal="left" vertical="center"/>
    </xf>
    <xf numFmtId="0" fontId="22" fillId="0" borderId="2" xfId="0" applyFont="1" applyBorder="1" applyAlignment="1" applyProtection="1">
      <alignment vertical="center"/>
    </xf>
    <xf numFmtId="0" fontId="22" fillId="0" borderId="1" xfId="0" applyFont="1" applyBorder="1" applyAlignment="1" applyProtection="1">
      <alignment vertical="center"/>
    </xf>
    <xf numFmtId="0" fontId="22" fillId="0" borderId="2" xfId="0" applyFont="1" applyFill="1" applyBorder="1" applyAlignment="1" applyProtection="1">
      <alignment vertical="center"/>
    </xf>
    <xf numFmtId="0" fontId="22" fillId="0" borderId="1" xfId="0" applyFont="1" applyFill="1" applyBorder="1" applyAlignment="1" applyProtection="1">
      <alignment vertical="center"/>
    </xf>
    <xf numFmtId="0" fontId="22" fillId="0" borderId="2" xfId="0" applyFont="1" applyBorder="1" applyAlignment="1" applyProtection="1">
      <alignment horizontal="left" vertical="center"/>
    </xf>
    <xf numFmtId="0" fontId="22" fillId="0" borderId="1" xfId="0" applyFont="1" applyBorder="1" applyAlignment="1" applyProtection="1">
      <alignment horizontal="left" vertical="center"/>
    </xf>
    <xf numFmtId="165" fontId="0" fillId="0" borderId="1" xfId="0" applyNumberFormat="1" applyFill="1" applyBorder="1" applyAlignment="1" applyProtection="1">
      <alignment horizontal="center" vertical="center"/>
    </xf>
    <xf numFmtId="169" fontId="22" fillId="0" borderId="8" xfId="0" applyNumberFormat="1" applyFont="1" applyBorder="1" applyAlignment="1" applyProtection="1">
      <alignment horizontal="right" vertical="center"/>
    </xf>
    <xf numFmtId="169" fontId="22" fillId="0" borderId="44" xfId="0" applyNumberFormat="1" applyFont="1" applyBorder="1" applyAlignment="1" applyProtection="1">
      <alignment horizontal="right" vertical="center"/>
    </xf>
    <xf numFmtId="0" fontId="9" fillId="0" borderId="18" xfId="0" applyFont="1" applyFill="1" applyBorder="1" applyAlignment="1" applyProtection="1">
      <alignment horizontal="center" vertical="center"/>
    </xf>
    <xf numFmtId="0" fontId="9" fillId="0" borderId="19" xfId="0" applyFont="1" applyFill="1" applyBorder="1" applyAlignment="1" applyProtection="1">
      <alignment horizontal="center" vertical="center"/>
    </xf>
    <xf numFmtId="166" fontId="0" fillId="0" borderId="6" xfId="0" applyNumberFormat="1" applyBorder="1" applyAlignment="1" applyProtection="1">
      <alignment horizontal="center" vertical="center"/>
    </xf>
    <xf numFmtId="165" fontId="22" fillId="0" borderId="6" xfId="0" applyNumberFormat="1" applyFont="1" applyFill="1" applyBorder="1" applyAlignment="1" applyProtection="1">
      <alignment horizontal="center" vertical="center"/>
    </xf>
    <xf numFmtId="169" fontId="22" fillId="0" borderId="42" xfId="0" applyNumberFormat="1" applyFont="1" applyBorder="1" applyAlignment="1" applyProtection="1">
      <alignment horizontal="center" vertical="center"/>
    </xf>
    <xf numFmtId="166" fontId="0" fillId="0" borderId="6" xfId="0" applyNumberFormat="1" applyFill="1" applyBorder="1" applyAlignment="1" applyProtection="1">
      <alignment horizontal="center" vertical="center"/>
    </xf>
    <xf numFmtId="0" fontId="26" fillId="0" borderId="0" xfId="0" applyFont="1" applyBorder="1" applyAlignment="1" applyProtection="1">
      <alignment horizontal="right" vertical="center"/>
    </xf>
    <xf numFmtId="0" fontId="26" fillId="0" borderId="29" xfId="0" applyFont="1" applyBorder="1" applyAlignment="1" applyProtection="1">
      <alignment horizontal="right" vertical="center"/>
    </xf>
    <xf numFmtId="0" fontId="26" fillId="0" borderId="30" xfId="0" applyFont="1" applyBorder="1" applyAlignment="1" applyProtection="1">
      <alignment horizontal="right" vertical="center"/>
    </xf>
    <xf numFmtId="164" fontId="0" fillId="0" borderId="1" xfId="0" applyNumberFormat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left" vertical="center"/>
    </xf>
    <xf numFmtId="0" fontId="22" fillId="0" borderId="1" xfId="0" applyFont="1" applyFill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right" vertical="center"/>
    </xf>
    <xf numFmtId="0" fontId="28" fillId="0" borderId="2" xfId="0" applyFont="1" applyBorder="1" applyAlignment="1" applyProtection="1">
      <alignment horizontal="left" vertical="center"/>
    </xf>
    <xf numFmtId="0" fontId="28" fillId="0" borderId="1" xfId="0" applyFont="1" applyBorder="1" applyAlignment="1" applyProtection="1">
      <alignment horizontal="left" vertical="center"/>
    </xf>
    <xf numFmtId="166" fontId="21" fillId="6" borderId="28" xfId="0" applyNumberFormat="1" applyFont="1" applyFill="1" applyBorder="1" applyAlignment="1" applyProtection="1">
      <alignment horizontal="center" vertical="center"/>
      <protection locked="0"/>
    </xf>
    <xf numFmtId="166" fontId="21" fillId="6" borderId="24" xfId="0" applyNumberFormat="1" applyFont="1" applyFill="1" applyBorder="1" applyAlignment="1" applyProtection="1">
      <alignment horizontal="center" vertical="center"/>
      <protection locked="0"/>
    </xf>
    <xf numFmtId="165" fontId="21" fillId="6" borderId="28" xfId="0" applyNumberFormat="1" applyFont="1" applyFill="1" applyBorder="1" applyAlignment="1" applyProtection="1">
      <alignment horizontal="center" vertical="center"/>
      <protection locked="0"/>
    </xf>
    <xf numFmtId="165" fontId="21" fillId="6" borderId="24" xfId="0" applyNumberFormat="1" applyFont="1" applyFill="1" applyBorder="1" applyAlignment="1" applyProtection="1">
      <alignment horizontal="center" vertical="center"/>
      <protection locked="0"/>
    </xf>
    <xf numFmtId="0" fontId="28" fillId="0" borderId="2" xfId="0" applyFont="1" applyBorder="1" applyAlignment="1" applyProtection="1">
      <alignment horizontal="left" vertical="center" wrapText="1"/>
    </xf>
    <xf numFmtId="0" fontId="28" fillId="0" borderId="1" xfId="0" applyFont="1" applyBorder="1" applyAlignment="1" applyProtection="1">
      <alignment horizontal="left" vertical="center" wrapText="1"/>
    </xf>
    <xf numFmtId="0" fontId="28" fillId="0" borderId="7" xfId="0" applyFont="1" applyBorder="1" applyAlignment="1" applyProtection="1">
      <alignment horizontal="left" vertical="center"/>
    </xf>
    <xf numFmtId="0" fontId="28" fillId="0" borderId="8" xfId="0" applyFont="1" applyBorder="1" applyAlignment="1" applyProtection="1">
      <alignment horizontal="left" vertical="center"/>
    </xf>
    <xf numFmtId="0" fontId="7" fillId="2" borderId="0" xfId="0" applyFont="1" applyFill="1" applyBorder="1" applyAlignment="1" applyProtection="1">
      <alignment horizontal="center" vertical="center" wrapText="1"/>
    </xf>
    <xf numFmtId="165" fontId="21" fillId="6" borderId="26" xfId="0" applyNumberFormat="1" applyFont="1" applyFill="1" applyBorder="1" applyAlignment="1" applyProtection="1">
      <alignment horizontal="center" vertical="center"/>
      <protection locked="0"/>
    </xf>
    <xf numFmtId="165" fontId="21" fillId="6" borderId="25" xfId="0" applyNumberFormat="1" applyFont="1" applyFill="1" applyBorder="1" applyAlignment="1" applyProtection="1">
      <alignment horizontal="center" vertical="center"/>
      <protection locked="0"/>
    </xf>
    <xf numFmtId="0" fontId="21" fillId="0" borderId="17" xfId="0" applyFont="1" applyBorder="1" applyAlignment="1" applyProtection="1">
      <alignment horizontal="left" vertical="center"/>
    </xf>
    <xf numFmtId="0" fontId="21" fillId="0" borderId="18" xfId="0" applyFont="1" applyBorder="1" applyAlignment="1" applyProtection="1">
      <alignment horizontal="left" vertical="center"/>
    </xf>
    <xf numFmtId="0" fontId="21" fillId="0" borderId="2" xfId="0" applyFont="1" applyBorder="1" applyAlignment="1" applyProtection="1">
      <alignment horizontal="left" vertical="center"/>
    </xf>
    <xf numFmtId="0" fontId="21" fillId="0" borderId="1" xfId="0" applyFont="1" applyBorder="1" applyAlignment="1" applyProtection="1">
      <alignment horizontal="left" vertical="center"/>
    </xf>
    <xf numFmtId="0" fontId="28" fillId="0" borderId="2" xfId="0" applyFont="1" applyFill="1" applyBorder="1" applyAlignment="1" applyProtection="1">
      <alignment horizontal="left" vertical="center"/>
    </xf>
    <xf numFmtId="0" fontId="28" fillId="0" borderId="2" xfId="0" applyFont="1" applyFill="1" applyBorder="1" applyAlignment="1" applyProtection="1">
      <alignment horizontal="left" vertical="center" wrapText="1"/>
    </xf>
    <xf numFmtId="0" fontId="28" fillId="0" borderId="1" xfId="0" applyFont="1" applyFill="1" applyBorder="1" applyAlignment="1" applyProtection="1">
      <alignment horizontal="left" vertical="center" wrapText="1"/>
    </xf>
    <xf numFmtId="164" fontId="21" fillId="6" borderId="37" xfId="0" applyNumberFormat="1" applyFont="1" applyFill="1" applyBorder="1" applyAlignment="1" applyProtection="1">
      <alignment horizontal="center" vertical="center"/>
      <protection locked="0"/>
    </xf>
    <xf numFmtId="164" fontId="21" fillId="6" borderId="38" xfId="0" applyNumberFormat="1" applyFont="1" applyFill="1" applyBorder="1" applyAlignment="1" applyProtection="1">
      <alignment horizontal="center" vertical="center"/>
      <protection locked="0"/>
    </xf>
    <xf numFmtId="164" fontId="21" fillId="6" borderId="28" xfId="0" applyNumberFormat="1" applyFont="1" applyFill="1" applyBorder="1" applyAlignment="1" applyProtection="1">
      <alignment horizontal="center" vertical="center"/>
      <protection locked="0"/>
    </xf>
    <xf numFmtId="164" fontId="21" fillId="6" borderId="24" xfId="0" applyNumberFormat="1" applyFont="1" applyFill="1" applyBorder="1" applyAlignment="1" applyProtection="1">
      <alignment horizontal="center" vertical="center"/>
      <protection locked="0"/>
    </xf>
    <xf numFmtId="166" fontId="0" fillId="6" borderId="28" xfId="0" applyNumberFormat="1" applyFont="1" applyFill="1" applyBorder="1" applyAlignment="1" applyProtection="1">
      <alignment horizontal="center" vertical="center" wrapText="1"/>
      <protection locked="0"/>
    </xf>
    <xf numFmtId="166" fontId="0" fillId="6" borderId="24" xfId="0" applyNumberFormat="1" applyFont="1" applyFill="1" applyBorder="1" applyAlignment="1" applyProtection="1">
      <alignment horizontal="center" vertical="center" wrapText="1"/>
      <protection locked="0"/>
    </xf>
    <xf numFmtId="165" fontId="28" fillId="0" borderId="28" xfId="0" applyNumberFormat="1" applyFont="1" applyFill="1" applyBorder="1" applyAlignment="1" applyProtection="1">
      <alignment horizontal="center" vertical="center" wrapText="1"/>
    </xf>
    <xf numFmtId="165" fontId="28" fillId="0" borderId="24" xfId="0" applyNumberFormat="1" applyFont="1" applyFill="1" applyBorder="1" applyAlignment="1" applyProtection="1">
      <alignment horizontal="center" vertical="center" wrapText="1"/>
    </xf>
    <xf numFmtId="169" fontId="37" fillId="0" borderId="0" xfId="0" applyNumberFormat="1" applyFont="1" applyFill="1" applyBorder="1" applyAlignment="1" applyProtection="1">
      <alignment horizontal="center" wrapText="1"/>
    </xf>
    <xf numFmtId="0" fontId="22" fillId="2" borderId="2" xfId="0" applyFont="1" applyFill="1" applyBorder="1" applyAlignment="1" applyProtection="1">
      <alignment horizontal="center" vertical="center"/>
    </xf>
    <xf numFmtId="0" fontId="22" fillId="2" borderId="1" xfId="0" applyFont="1" applyFill="1" applyBorder="1" applyAlignment="1" applyProtection="1">
      <alignment horizontal="center" vertical="center"/>
    </xf>
    <xf numFmtId="0" fontId="9" fillId="0" borderId="17" xfId="0" applyFont="1" applyFill="1" applyBorder="1" applyAlignment="1" applyProtection="1">
      <alignment horizontal="left" vertical="center"/>
    </xf>
    <xf numFmtId="0" fontId="9" fillId="0" borderId="18" xfId="0" applyFont="1" applyFill="1" applyBorder="1" applyAlignment="1" applyProtection="1">
      <alignment horizontal="left" vertical="center"/>
    </xf>
    <xf numFmtId="0" fontId="9" fillId="0" borderId="19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left" vertical="center"/>
    </xf>
    <xf numFmtId="164" fontId="22" fillId="0" borderId="1" xfId="0" applyNumberFormat="1" applyFont="1" applyBorder="1" applyAlignment="1" applyProtection="1">
      <alignment horizontal="center" vertical="center"/>
    </xf>
    <xf numFmtId="0" fontId="0" fillId="6" borderId="20" xfId="0" applyFill="1" applyBorder="1" applyAlignment="1" applyProtection="1">
      <alignment horizontal="center" vertical="center"/>
      <protection locked="0"/>
    </xf>
    <xf numFmtId="0" fontId="0" fillId="6" borderId="33" xfId="0" applyFill="1" applyBorder="1" applyAlignment="1" applyProtection="1">
      <alignment horizontal="center" vertical="center"/>
      <protection locked="0"/>
    </xf>
    <xf numFmtId="169" fontId="22" fillId="0" borderId="49" xfId="0" applyNumberFormat="1" applyFont="1" applyBorder="1" applyAlignment="1" applyProtection="1">
      <alignment horizontal="right" vertical="center"/>
    </xf>
    <xf numFmtId="169" fontId="22" fillId="0" borderId="50" xfId="0" applyNumberFormat="1" applyFont="1" applyBorder="1" applyAlignment="1" applyProtection="1">
      <alignment horizontal="right" vertical="center"/>
    </xf>
    <xf numFmtId="169" fontId="22" fillId="0" borderId="43" xfId="0" applyNumberFormat="1" applyFont="1" applyBorder="1" applyAlignment="1" applyProtection="1">
      <alignment horizontal="center" vertical="center"/>
    </xf>
    <xf numFmtId="0" fontId="22" fillId="2" borderId="48" xfId="0" applyFont="1" applyFill="1" applyBorder="1" applyAlignment="1" applyProtection="1">
      <alignment horizontal="center" vertical="center"/>
    </xf>
    <xf numFmtId="0" fontId="22" fillId="2" borderId="28" xfId="0" applyFont="1" applyFill="1" applyBorder="1" applyAlignment="1" applyProtection="1">
      <alignment horizontal="center" vertical="center"/>
    </xf>
    <xf numFmtId="0" fontId="22" fillId="2" borderId="33" xfId="0" applyFont="1" applyFill="1" applyBorder="1" applyAlignment="1" applyProtection="1">
      <alignment horizontal="center" vertical="center"/>
    </xf>
    <xf numFmtId="0" fontId="22" fillId="0" borderId="48" xfId="0" applyFont="1" applyBorder="1" applyAlignment="1" applyProtection="1">
      <alignment horizontal="left" vertical="center"/>
    </xf>
    <xf numFmtId="0" fontId="22" fillId="0" borderId="28" xfId="0" applyFont="1" applyBorder="1" applyAlignment="1" applyProtection="1">
      <alignment horizontal="left" vertical="center"/>
    </xf>
    <xf numFmtId="0" fontId="22" fillId="0" borderId="33" xfId="0" applyFont="1" applyBorder="1" applyAlignment="1" applyProtection="1">
      <alignment horizontal="left" vertical="center"/>
    </xf>
    <xf numFmtId="164" fontId="0" fillId="0" borderId="1" xfId="0" applyNumberFormat="1" applyFill="1" applyBorder="1" applyAlignment="1" applyProtection="1">
      <alignment horizontal="center" vertical="center"/>
    </xf>
    <xf numFmtId="165" fontId="0" fillId="0" borderId="15" xfId="0" applyNumberFormat="1" applyFill="1" applyBorder="1" applyAlignment="1" applyProtection="1">
      <alignment horizontal="center" vertical="center"/>
    </xf>
    <xf numFmtId="165" fontId="0" fillId="0" borderId="16" xfId="0" applyNumberFormat="1" applyFill="1" applyBorder="1" applyAlignment="1" applyProtection="1">
      <alignment horizontal="center" vertical="center"/>
    </xf>
    <xf numFmtId="166" fontId="0" fillId="0" borderId="34" xfId="0" applyNumberFormat="1" applyFill="1" applyBorder="1" applyAlignment="1" applyProtection="1">
      <alignment horizontal="center" vertical="center"/>
    </xf>
    <xf numFmtId="0" fontId="21" fillId="0" borderId="0" xfId="0" applyFont="1" applyBorder="1" applyAlignment="1" applyProtection="1">
      <alignment horizontal="left" vertical="center"/>
    </xf>
    <xf numFmtId="169" fontId="38" fillId="0" borderId="0" xfId="0" applyNumberFormat="1" applyFont="1" applyFill="1" applyBorder="1" applyAlignment="1" applyProtection="1">
      <alignment horizontal="center" wrapText="1"/>
    </xf>
    <xf numFmtId="164" fontId="21" fillId="6" borderId="20" xfId="0" applyNumberFormat="1" applyFont="1" applyFill="1" applyBorder="1" applyAlignment="1" applyProtection="1">
      <alignment horizontal="center" vertical="center"/>
      <protection locked="0"/>
    </xf>
    <xf numFmtId="164" fontId="21" fillId="6" borderId="45" xfId="0" applyNumberFormat="1" applyFont="1" applyFill="1" applyBorder="1" applyAlignment="1" applyProtection="1">
      <alignment horizontal="center" vertical="center"/>
      <protection locked="0"/>
    </xf>
    <xf numFmtId="165" fontId="21" fillId="6" borderId="20" xfId="0" applyNumberFormat="1" applyFont="1" applyFill="1" applyBorder="1" applyAlignment="1" applyProtection="1">
      <alignment horizontal="center" vertical="center"/>
      <protection locked="0"/>
    </xf>
    <xf numFmtId="165" fontId="21" fillId="2" borderId="20" xfId="0" applyNumberFormat="1" applyFont="1" applyFill="1" applyBorder="1" applyAlignment="1" applyProtection="1">
      <alignment horizontal="center" vertical="center"/>
      <protection locked="0"/>
    </xf>
    <xf numFmtId="165" fontId="21" fillId="2" borderId="28" xfId="0" applyNumberFormat="1" applyFont="1" applyFill="1" applyBorder="1" applyAlignment="1" applyProtection="1">
      <alignment horizontal="center" vertical="center"/>
      <protection locked="0"/>
    </xf>
    <xf numFmtId="165" fontId="21" fillId="2" borderId="24" xfId="0" applyNumberFormat="1" applyFont="1" applyFill="1" applyBorder="1" applyAlignment="1" applyProtection="1">
      <alignment horizontal="center" vertical="center"/>
      <protection locked="0"/>
    </xf>
    <xf numFmtId="166" fontId="21" fillId="6" borderId="20" xfId="0" applyNumberFormat="1" applyFont="1" applyFill="1" applyBorder="1" applyAlignment="1" applyProtection="1">
      <alignment horizontal="center" vertical="center" wrapText="1"/>
      <protection locked="0"/>
    </xf>
    <xf numFmtId="166" fontId="21" fillId="6" borderId="28" xfId="0" applyNumberFormat="1" applyFont="1" applyFill="1" applyBorder="1" applyAlignment="1" applyProtection="1">
      <alignment horizontal="center" vertical="center" wrapText="1"/>
      <protection locked="0"/>
    </xf>
    <xf numFmtId="166" fontId="21" fillId="6" borderId="24" xfId="0" applyNumberFormat="1" applyFont="1" applyFill="1" applyBorder="1" applyAlignment="1" applyProtection="1">
      <alignment horizontal="center" vertical="center" wrapText="1"/>
      <protection locked="0"/>
    </xf>
    <xf numFmtId="166" fontId="21" fillId="6" borderId="20" xfId="0" applyNumberFormat="1" applyFont="1" applyFill="1" applyBorder="1" applyAlignment="1" applyProtection="1">
      <alignment horizontal="center" vertical="center"/>
      <protection locked="0"/>
    </xf>
    <xf numFmtId="164" fontId="21" fillId="6" borderId="44" xfId="0" applyNumberFormat="1" applyFont="1" applyFill="1" applyBorder="1" applyAlignment="1" applyProtection="1">
      <alignment horizontal="center" vertical="center" wrapText="1"/>
      <protection locked="0"/>
    </xf>
    <xf numFmtId="164" fontId="21" fillId="6" borderId="26" xfId="0" applyNumberFormat="1" applyFont="1" applyFill="1" applyBorder="1" applyAlignment="1" applyProtection="1">
      <alignment horizontal="center" vertical="center" wrapText="1"/>
      <protection locked="0"/>
    </xf>
    <xf numFmtId="164" fontId="21" fillId="6" borderId="25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</xf>
    <xf numFmtId="0" fontId="26" fillId="0" borderId="0" xfId="0" applyFont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right" vertical="center"/>
    </xf>
    <xf numFmtId="0" fontId="9" fillId="0" borderId="13" xfId="0" applyFont="1" applyFill="1" applyBorder="1" applyAlignment="1" applyProtection="1">
      <alignment horizontal="left" vertical="center"/>
    </xf>
    <xf numFmtId="0" fontId="25" fillId="0" borderId="7" xfId="0" applyFont="1" applyBorder="1" applyAlignment="1" applyProtection="1">
      <alignment horizontal="left" vertical="center" wrapText="1"/>
    </xf>
    <xf numFmtId="0" fontId="25" fillId="0" borderId="8" xfId="0" applyFont="1" applyBorder="1" applyAlignment="1" applyProtection="1">
      <alignment horizontal="left" vertical="center" wrapText="1"/>
    </xf>
    <xf numFmtId="0" fontId="9" fillId="0" borderId="11" xfId="0" applyFont="1" applyFill="1" applyBorder="1" applyAlignment="1" applyProtection="1">
      <alignment horizontal="left" vertical="center"/>
    </xf>
    <xf numFmtId="0" fontId="9" fillId="0" borderId="3" xfId="0" applyFont="1" applyFill="1" applyBorder="1" applyAlignment="1" applyProtection="1">
      <alignment horizontal="left" vertical="center"/>
    </xf>
    <xf numFmtId="0" fontId="21" fillId="0" borderId="2" xfId="0" applyFont="1" applyBorder="1" applyAlignment="1" applyProtection="1">
      <alignment horizontal="left" vertical="center" wrapText="1"/>
    </xf>
    <xf numFmtId="0" fontId="21" fillId="0" borderId="1" xfId="0" applyFont="1" applyBorder="1" applyAlignment="1" applyProtection="1">
      <alignment horizontal="left" vertical="center" wrapText="1"/>
    </xf>
    <xf numFmtId="0" fontId="25" fillId="0" borderId="2" xfId="0" applyFont="1" applyBorder="1" applyAlignment="1" applyProtection="1">
      <alignment horizontal="left" vertical="center" wrapText="1"/>
    </xf>
    <xf numFmtId="0" fontId="25" fillId="0" borderId="1" xfId="0" applyFont="1" applyBorder="1" applyAlignment="1" applyProtection="1">
      <alignment horizontal="left" vertical="center" wrapText="1"/>
    </xf>
    <xf numFmtId="0" fontId="28" fillId="0" borderId="7" xfId="0" applyFont="1" applyBorder="1" applyAlignment="1" applyProtection="1">
      <alignment horizontal="left" vertical="center" wrapText="1"/>
    </xf>
    <xf numFmtId="0" fontId="28" fillId="0" borderId="8" xfId="0" applyFont="1" applyBorder="1" applyAlignment="1" applyProtection="1">
      <alignment horizontal="left" vertical="center" wrapText="1"/>
    </xf>
    <xf numFmtId="0" fontId="25" fillId="0" borderId="2" xfId="0" applyFont="1" applyFill="1" applyBorder="1" applyAlignment="1" applyProtection="1">
      <alignment vertical="center"/>
    </xf>
    <xf numFmtId="0" fontId="25" fillId="0" borderId="1" xfId="0" applyFont="1" applyFill="1" applyBorder="1" applyAlignment="1" applyProtection="1">
      <alignment vertical="center"/>
    </xf>
    <xf numFmtId="165" fontId="28" fillId="6" borderId="28" xfId="0" applyNumberFormat="1" applyFont="1" applyFill="1" applyBorder="1" applyAlignment="1" applyProtection="1">
      <alignment horizontal="center" vertical="center"/>
      <protection locked="0"/>
    </xf>
    <xf numFmtId="165" fontId="28" fillId="6" borderId="24" xfId="0" applyNumberFormat="1" applyFont="1" applyFill="1" applyBorder="1" applyAlignment="1" applyProtection="1">
      <alignment horizontal="center" vertical="center"/>
      <protection locked="0"/>
    </xf>
    <xf numFmtId="169" fontId="22" fillId="0" borderId="36" xfId="0" applyNumberFormat="1" applyFont="1" applyBorder="1" applyAlignment="1" applyProtection="1">
      <alignment horizontal="right" vertical="center"/>
    </xf>
    <xf numFmtId="0" fontId="9" fillId="0" borderId="39" xfId="0" applyFont="1" applyFill="1" applyBorder="1" applyAlignment="1" applyProtection="1">
      <alignment horizontal="center" vertical="center"/>
    </xf>
    <xf numFmtId="0" fontId="21" fillId="0" borderId="0" xfId="0" applyFont="1" applyBorder="1" applyAlignment="1" applyProtection="1">
      <alignment vertical="center"/>
    </xf>
    <xf numFmtId="165" fontId="21" fillId="6" borderId="28" xfId="0" applyNumberFormat="1" applyFont="1" applyFill="1" applyBorder="1" applyAlignment="1" applyProtection="1">
      <alignment horizontal="center" vertical="center" wrapText="1"/>
      <protection locked="0"/>
    </xf>
    <xf numFmtId="165" fontId="21" fillId="6" borderId="24" xfId="0" applyNumberFormat="1" applyFont="1" applyFill="1" applyBorder="1" applyAlignment="1" applyProtection="1">
      <alignment horizontal="center" vertical="center" wrapText="1"/>
      <protection locked="0"/>
    </xf>
    <xf numFmtId="164" fontId="21" fillId="6" borderId="28" xfId="0" applyNumberFormat="1" applyFont="1" applyFill="1" applyBorder="1" applyAlignment="1" applyProtection="1">
      <alignment horizontal="center" vertical="center" wrapText="1"/>
      <protection locked="0"/>
    </xf>
    <xf numFmtId="164" fontId="21" fillId="6" borderId="24" xfId="0" applyNumberFormat="1" applyFont="1" applyFill="1" applyBorder="1" applyAlignment="1" applyProtection="1">
      <alignment horizontal="center" vertical="center" wrapText="1"/>
      <protection locked="0"/>
    </xf>
    <xf numFmtId="165" fontId="22" fillId="0" borderId="1" xfId="0" applyNumberFormat="1" applyFont="1" applyBorder="1" applyAlignment="1" applyProtection="1">
      <alignment horizontal="center" vertical="center"/>
    </xf>
    <xf numFmtId="169" fontId="22" fillId="0" borderId="6" xfId="0" applyNumberFormat="1" applyFont="1" applyBorder="1" applyAlignment="1" applyProtection="1">
      <alignment horizontal="center" vertical="center"/>
    </xf>
    <xf numFmtId="0" fontId="22" fillId="6" borderId="20" xfId="0" applyFont="1" applyFill="1" applyBorder="1" applyAlignment="1" applyProtection="1">
      <alignment horizontal="center" vertical="center" wrapText="1"/>
      <protection locked="0"/>
    </xf>
    <xf numFmtId="0" fontId="22" fillId="6" borderId="28" xfId="0" applyFont="1" applyFill="1" applyBorder="1" applyAlignment="1" applyProtection="1">
      <alignment horizontal="center" vertical="center" wrapText="1"/>
      <protection locked="0"/>
    </xf>
    <xf numFmtId="0" fontId="22" fillId="6" borderId="24" xfId="0" applyFont="1" applyFill="1" applyBorder="1" applyAlignment="1" applyProtection="1">
      <alignment horizontal="center" vertical="center" wrapText="1"/>
      <protection locked="0"/>
    </xf>
    <xf numFmtId="166" fontId="21" fillId="6" borderId="44" xfId="0" applyNumberFormat="1" applyFont="1" applyFill="1" applyBorder="1" applyAlignment="1" applyProtection="1">
      <alignment horizontal="center" vertical="center" wrapText="1"/>
      <protection locked="0"/>
    </xf>
    <xf numFmtId="166" fontId="21" fillId="6" borderId="26" xfId="0" applyNumberFormat="1" applyFont="1" applyFill="1" applyBorder="1" applyAlignment="1" applyProtection="1">
      <alignment horizontal="center" vertical="center" wrapText="1"/>
      <protection locked="0"/>
    </xf>
    <xf numFmtId="166" fontId="21" fillId="6" borderId="25" xfId="0" applyNumberFormat="1" applyFont="1" applyFill="1" applyBorder="1" applyAlignment="1" applyProtection="1">
      <alignment horizontal="center" vertical="center" wrapText="1"/>
      <protection locked="0"/>
    </xf>
    <xf numFmtId="165" fontId="22" fillId="6" borderId="20" xfId="0" applyNumberFormat="1" applyFont="1" applyFill="1" applyBorder="1" applyAlignment="1" applyProtection="1">
      <alignment horizontal="center" vertical="center"/>
      <protection locked="0"/>
    </xf>
    <xf numFmtId="165" fontId="22" fillId="6" borderId="28" xfId="0" applyNumberFormat="1" applyFont="1" applyFill="1" applyBorder="1" applyAlignment="1" applyProtection="1">
      <alignment horizontal="center" vertical="center"/>
      <protection locked="0"/>
    </xf>
    <xf numFmtId="165" fontId="22" fillId="6" borderId="24" xfId="0" applyNumberFormat="1" applyFont="1" applyFill="1" applyBorder="1" applyAlignment="1" applyProtection="1">
      <alignment horizontal="center" vertical="center"/>
      <protection locked="0"/>
    </xf>
    <xf numFmtId="169" fontId="22" fillId="0" borderId="2" xfId="0" applyNumberFormat="1" applyFont="1" applyFill="1" applyBorder="1" applyAlignment="1" applyProtection="1">
      <alignment horizontal="left" vertical="center"/>
    </xf>
    <xf numFmtId="165" fontId="22" fillId="0" borderId="34" xfId="0" applyNumberFormat="1" applyFont="1" applyBorder="1" applyAlignment="1" applyProtection="1">
      <alignment horizontal="center" vertical="center"/>
    </xf>
    <xf numFmtId="165" fontId="22" fillId="0" borderId="35" xfId="0" applyNumberFormat="1" applyFont="1" applyBorder="1" applyAlignment="1" applyProtection="1">
      <alignment horizontal="center" vertical="center"/>
    </xf>
    <xf numFmtId="164" fontId="22" fillId="0" borderId="15" xfId="0" applyNumberFormat="1" applyFont="1" applyFill="1" applyBorder="1" applyAlignment="1" applyProtection="1">
      <alignment horizontal="center" vertical="center"/>
    </xf>
    <xf numFmtId="164" fontId="22" fillId="0" borderId="16" xfId="0" applyNumberFormat="1" applyFont="1" applyFill="1" applyBorder="1" applyAlignment="1" applyProtection="1">
      <alignment horizontal="center" vertical="center"/>
    </xf>
    <xf numFmtId="169" fontId="22" fillId="0" borderId="47" xfId="0" applyNumberFormat="1" applyFont="1" applyBorder="1" applyAlignment="1" applyProtection="1">
      <alignment horizontal="center" vertical="center"/>
    </xf>
    <xf numFmtId="0" fontId="26" fillId="0" borderId="20" xfId="0" applyFont="1" applyBorder="1" applyAlignment="1" applyProtection="1">
      <alignment horizontal="center" vertical="center"/>
    </xf>
    <xf numFmtId="0" fontId="26" fillId="0" borderId="33" xfId="0" applyFont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170" fontId="12" fillId="0" borderId="1" xfId="0" applyNumberFormat="1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center" vertical="center"/>
    </xf>
    <xf numFmtId="0" fontId="13" fillId="0" borderId="15" xfId="0" applyFont="1" applyFill="1" applyBorder="1" applyAlignment="1" applyProtection="1">
      <alignment horizontal="center" vertical="center" wrapText="1"/>
    </xf>
    <xf numFmtId="0" fontId="13" fillId="0" borderId="16" xfId="0" applyFont="1" applyFill="1" applyBorder="1" applyAlignment="1" applyProtection="1">
      <alignment horizontal="center" vertical="center" wrapText="1"/>
    </xf>
    <xf numFmtId="0" fontId="12" fillId="0" borderId="15" xfId="0" applyFont="1" applyFill="1" applyBorder="1" applyAlignment="1" applyProtection="1">
      <alignment horizontal="center" vertical="center" wrapText="1"/>
    </xf>
    <xf numFmtId="0" fontId="12" fillId="0" borderId="16" xfId="0" applyFont="1" applyFill="1" applyBorder="1" applyAlignment="1" applyProtection="1">
      <alignment horizontal="center" vertical="center" wrapText="1"/>
    </xf>
    <xf numFmtId="0" fontId="12" fillId="0" borderId="40" xfId="0" applyFont="1" applyFill="1" applyBorder="1" applyAlignment="1" applyProtection="1">
      <alignment horizontal="center" vertical="center" wrapText="1"/>
    </xf>
    <xf numFmtId="0" fontId="13" fillId="0" borderId="40" xfId="0" applyFont="1" applyFill="1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/>
    </xf>
    <xf numFmtId="0" fontId="0" fillId="0" borderId="40" xfId="0" applyBorder="1" applyAlignment="1" applyProtection="1">
      <alignment horizontal="center"/>
    </xf>
    <xf numFmtId="0" fontId="0" fillId="0" borderId="16" xfId="0" applyBorder="1" applyAlignment="1" applyProtection="1">
      <alignment horizontal="center"/>
    </xf>
    <xf numFmtId="0" fontId="12" fillId="0" borderId="15" xfId="0" applyFont="1" applyFill="1" applyBorder="1" applyAlignment="1" applyProtection="1">
      <alignment horizontal="center" vertical="center"/>
    </xf>
    <xf numFmtId="0" fontId="12" fillId="0" borderId="40" xfId="0" applyFont="1" applyFill="1" applyBorder="1" applyAlignment="1" applyProtection="1">
      <alignment horizontal="center" vertical="center"/>
    </xf>
    <xf numFmtId="0" fontId="12" fillId="0" borderId="16" xfId="0" applyFont="1" applyFill="1" applyBorder="1" applyAlignment="1" applyProtection="1">
      <alignment horizontal="center" vertical="center"/>
    </xf>
    <xf numFmtId="0" fontId="12" fillId="0" borderId="15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18" fillId="0" borderId="15" xfId="0" applyFont="1" applyFill="1" applyBorder="1" applyAlignment="1" applyProtection="1">
      <alignment horizontal="center" vertical="center" wrapText="1"/>
    </xf>
    <xf numFmtId="0" fontId="18" fillId="0" borderId="40" xfId="0" applyFont="1" applyFill="1" applyBorder="1" applyAlignment="1" applyProtection="1">
      <alignment horizontal="center" vertical="center" wrapText="1"/>
    </xf>
    <xf numFmtId="0" fontId="18" fillId="0" borderId="16" xfId="0" applyFont="1" applyFill="1" applyBorder="1" applyAlignment="1" applyProtection="1">
      <alignment horizontal="center" vertical="center" wrapText="1"/>
    </xf>
    <xf numFmtId="0" fontId="14" fillId="0" borderId="15" xfId="0" applyFont="1" applyFill="1" applyBorder="1" applyAlignment="1" applyProtection="1">
      <alignment horizontal="center" vertical="center"/>
    </xf>
    <xf numFmtId="0" fontId="14" fillId="0" borderId="40" xfId="0" applyFont="1" applyFill="1" applyBorder="1" applyAlignment="1" applyProtection="1">
      <alignment horizontal="center" vertical="center"/>
    </xf>
    <xf numFmtId="0" fontId="14" fillId="0" borderId="16" xfId="0" applyFont="1" applyFill="1" applyBorder="1" applyAlignment="1" applyProtection="1">
      <alignment horizontal="center" vertical="center"/>
    </xf>
    <xf numFmtId="0" fontId="19" fillId="0" borderId="15" xfId="0" applyFont="1" applyFill="1" applyBorder="1" applyAlignment="1" applyProtection="1">
      <alignment horizontal="center" vertical="center" wrapText="1"/>
    </xf>
    <xf numFmtId="0" fontId="19" fillId="0" borderId="40" xfId="0" applyFont="1" applyFill="1" applyBorder="1" applyAlignment="1" applyProtection="1">
      <alignment horizontal="center" vertical="center" wrapText="1"/>
    </xf>
    <xf numFmtId="0" fontId="19" fillId="0" borderId="16" xfId="0" applyFont="1" applyFill="1" applyBorder="1" applyAlignment="1" applyProtection="1">
      <alignment horizontal="center" vertical="center" wrapText="1"/>
    </xf>
    <xf numFmtId="0" fontId="14" fillId="0" borderId="15" xfId="0" applyFont="1" applyFill="1" applyBorder="1" applyAlignment="1">
      <alignment horizontal="center" vertical="center"/>
    </xf>
    <xf numFmtId="0" fontId="14" fillId="0" borderId="40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170" fontId="12" fillId="0" borderId="15" xfId="0" applyNumberFormat="1" applyFont="1" applyFill="1" applyBorder="1" applyAlignment="1" applyProtection="1">
      <alignment horizontal="center" vertical="center"/>
    </xf>
    <xf numFmtId="170" fontId="12" fillId="0" borderId="40" xfId="0" applyNumberFormat="1" applyFont="1" applyFill="1" applyBorder="1" applyAlignment="1" applyProtection="1">
      <alignment horizontal="center" vertical="center"/>
    </xf>
    <xf numFmtId="170" fontId="12" fillId="0" borderId="16" xfId="0" applyNumberFormat="1" applyFont="1" applyFill="1" applyBorder="1" applyAlignment="1" applyProtection="1">
      <alignment horizontal="center" vertical="center"/>
    </xf>
    <xf numFmtId="0" fontId="13" fillId="0" borderId="40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/>
    </xf>
    <xf numFmtId="170" fontId="12" fillId="0" borderId="1" xfId="0" applyNumberFormat="1" applyFont="1" applyBorder="1" applyAlignment="1" applyProtection="1">
      <alignment horizontal="center" vertical="center"/>
    </xf>
    <xf numFmtId="0" fontId="12" fillId="5" borderId="1" xfId="0" applyFont="1" applyFill="1" applyBorder="1" applyAlignment="1" applyProtection="1">
      <alignment horizontal="center"/>
    </xf>
    <xf numFmtId="2" fontId="17" fillId="3" borderId="13" xfId="0" applyNumberFormat="1" applyFont="1" applyFill="1" applyBorder="1" applyAlignment="1" applyProtection="1">
      <alignment horizontal="center" vertical="center" wrapText="1"/>
    </xf>
    <xf numFmtId="2" fontId="17" fillId="3" borderId="0" xfId="0" applyNumberFormat="1" applyFont="1" applyFill="1" applyBorder="1" applyAlignment="1" applyProtection="1">
      <alignment horizontal="center" vertical="center" wrapText="1"/>
    </xf>
    <xf numFmtId="0" fontId="13" fillId="4" borderId="1" xfId="0" applyFont="1" applyFill="1" applyBorder="1" applyAlignment="1" applyProtection="1">
      <alignment horizontal="center" vertical="center" wrapText="1"/>
    </xf>
    <xf numFmtId="0" fontId="18" fillId="3" borderId="20" xfId="0" applyFont="1" applyFill="1" applyBorder="1" applyAlignment="1" applyProtection="1">
      <alignment horizontal="center" vertical="center" wrapText="1"/>
    </xf>
    <xf numFmtId="0" fontId="18" fillId="3" borderId="28" xfId="0" applyFont="1" applyFill="1" applyBorder="1" applyAlignment="1" applyProtection="1">
      <alignment horizontal="center" vertical="center" wrapText="1"/>
    </xf>
    <xf numFmtId="0" fontId="18" fillId="3" borderId="33" xfId="0" applyFont="1" applyFill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/>
    </xf>
    <xf numFmtId="0" fontId="12" fillId="0" borderId="1" xfId="0" applyFont="1" applyBorder="1" applyAlignment="1" applyProtection="1">
      <alignment horizontal="left" vertical="center" wrapText="1"/>
    </xf>
  </cellXfs>
  <cellStyles count="3287">
    <cellStyle name="Гиперссылка" xfId="2" builtinId="8"/>
    <cellStyle name="Гиперссылка 2" xfId="8"/>
    <cellStyle name="Денежный 2" xfId="13"/>
    <cellStyle name="Денежный 3" xfId="14"/>
    <cellStyle name="Денежный 3 2" xfId="26"/>
    <cellStyle name="Денежный 3 3" xfId="33"/>
    <cellStyle name="Денежный 3 3 2" xfId="128"/>
    <cellStyle name="Денежный 3 3 3" xfId="80"/>
    <cellStyle name="Денежный 4" xfId="7"/>
    <cellStyle name="Денежный 4 2" xfId="16"/>
    <cellStyle name="Денежный 4 3" xfId="15"/>
    <cellStyle name="Денежный 5" xfId="115"/>
    <cellStyle name="Денежный 6" xfId="9"/>
    <cellStyle name="Обычный" xfId="0" builtinId="0"/>
    <cellStyle name="Обычный 2" xfId="10"/>
    <cellStyle name="Обычный 2 10" xfId="306"/>
    <cellStyle name="Обычный 2 10 2" xfId="849"/>
    <cellStyle name="Обычный 2 10 2 2" xfId="2463"/>
    <cellStyle name="Обычный 2 10 3" xfId="1385"/>
    <cellStyle name="Обычный 2 10 3 2" xfId="2999"/>
    <cellStyle name="Обычный 2 10 4" xfId="1921"/>
    <cellStyle name="Обычный 2 11" xfId="575"/>
    <cellStyle name="Обычный 2 11 2" xfId="2189"/>
    <cellStyle name="Обычный 2 12" xfId="1117"/>
    <cellStyle name="Обычный 2 12 2" xfId="2731"/>
    <cellStyle name="Обычный 2 13" xfId="1653"/>
    <cellStyle name="Обычный 2 2" xfId="6"/>
    <cellStyle name="Обычный 2 3" xfId="23"/>
    <cellStyle name="Обычный 2 3 10" xfId="311"/>
    <cellStyle name="Обычный 2 3 10 2" xfId="854"/>
    <cellStyle name="Обычный 2 3 10 2 2" xfId="2468"/>
    <cellStyle name="Обычный 2 3 10 3" xfId="1390"/>
    <cellStyle name="Обычный 2 3 10 3 2" xfId="3004"/>
    <cellStyle name="Обычный 2 3 10 4" xfId="1926"/>
    <cellStyle name="Обычный 2 3 11" xfId="582"/>
    <cellStyle name="Обычный 2 3 11 2" xfId="2196"/>
    <cellStyle name="Обычный 2 3 12" xfId="1122"/>
    <cellStyle name="Обычный 2 3 12 2" xfId="2736"/>
    <cellStyle name="Обычный 2 3 13" xfId="1658"/>
    <cellStyle name="Обычный 2 3 2" xfId="46"/>
    <cellStyle name="Обычный 2 3 2 2" xfId="64"/>
    <cellStyle name="Обычный 2 3 2 2 2" xfId="159"/>
    <cellStyle name="Обычный 2 3 2 2 2 2" xfId="298"/>
    <cellStyle name="Обычный 2 3 2 2 2 2 2" xfId="566"/>
    <cellStyle name="Обычный 2 3 2 2 2 2 2 2" xfId="1109"/>
    <cellStyle name="Обычный 2 3 2 2 2 2 2 2 2" xfId="2723"/>
    <cellStyle name="Обычный 2 3 2 2 2 2 2 3" xfId="1645"/>
    <cellStyle name="Обычный 2 3 2 2 2 2 2 3 2" xfId="3259"/>
    <cellStyle name="Обычный 2 3 2 2 2 2 2 4" xfId="2181"/>
    <cellStyle name="Обычный 2 3 2 2 2 2 3" xfId="841"/>
    <cellStyle name="Обычный 2 3 2 2 2 2 3 2" xfId="2455"/>
    <cellStyle name="Обычный 2 3 2 2 2 2 4" xfId="1377"/>
    <cellStyle name="Обычный 2 3 2 2 2 2 4 2" xfId="2991"/>
    <cellStyle name="Обычный 2 3 2 2 2 2 5" xfId="1913"/>
    <cellStyle name="Обычный 2 3 2 2 2 3" xfId="434"/>
    <cellStyle name="Обычный 2 3 2 2 2 3 2" xfId="977"/>
    <cellStyle name="Обычный 2 3 2 2 2 3 2 2" xfId="2591"/>
    <cellStyle name="Обычный 2 3 2 2 2 3 3" xfId="1513"/>
    <cellStyle name="Обычный 2 3 2 2 2 3 3 2" xfId="3127"/>
    <cellStyle name="Обычный 2 3 2 2 2 3 4" xfId="2049"/>
    <cellStyle name="Обычный 2 3 2 2 2 4" xfId="709"/>
    <cellStyle name="Обычный 2 3 2 2 2 4 2" xfId="2323"/>
    <cellStyle name="Обычный 2 3 2 2 2 5" xfId="1245"/>
    <cellStyle name="Обычный 2 3 2 2 2 5 2" xfId="2859"/>
    <cellStyle name="Обычный 2 3 2 2 2 6" xfId="1781"/>
    <cellStyle name="Обычный 2 3 2 2 3" xfId="111"/>
    <cellStyle name="Обычный 2 3 2 2 3 2" xfId="253"/>
    <cellStyle name="Обычный 2 3 2 2 3 2 2" xfId="522"/>
    <cellStyle name="Обычный 2 3 2 2 3 2 2 2" xfId="1065"/>
    <cellStyle name="Обычный 2 3 2 2 3 2 2 2 2" xfId="2679"/>
    <cellStyle name="Обычный 2 3 2 2 3 2 2 3" xfId="1601"/>
    <cellStyle name="Обычный 2 3 2 2 3 2 2 3 2" xfId="3215"/>
    <cellStyle name="Обычный 2 3 2 2 3 2 2 4" xfId="2137"/>
    <cellStyle name="Обычный 2 3 2 2 3 2 3" xfId="797"/>
    <cellStyle name="Обычный 2 3 2 2 3 2 3 2" xfId="2411"/>
    <cellStyle name="Обычный 2 3 2 2 3 2 4" xfId="1333"/>
    <cellStyle name="Обычный 2 3 2 2 3 2 4 2" xfId="2947"/>
    <cellStyle name="Обычный 2 3 2 2 3 2 5" xfId="1869"/>
    <cellStyle name="Обычный 2 3 2 2 3 3" xfId="390"/>
    <cellStyle name="Обычный 2 3 2 2 3 3 2" xfId="933"/>
    <cellStyle name="Обычный 2 3 2 2 3 3 2 2" xfId="2547"/>
    <cellStyle name="Обычный 2 3 2 2 3 3 3" xfId="1469"/>
    <cellStyle name="Обычный 2 3 2 2 3 3 3 2" xfId="3083"/>
    <cellStyle name="Обычный 2 3 2 2 3 3 4" xfId="2005"/>
    <cellStyle name="Обычный 2 3 2 2 3 4" xfId="664"/>
    <cellStyle name="Обычный 2 3 2 2 3 4 2" xfId="2278"/>
    <cellStyle name="Обычный 2 3 2 2 3 5" xfId="1201"/>
    <cellStyle name="Обычный 2 3 2 2 3 5 2" xfId="2815"/>
    <cellStyle name="Обычный 2 3 2 2 3 6" xfId="1737"/>
    <cellStyle name="Обычный 2 3 2 2 4" xfId="208"/>
    <cellStyle name="Обычный 2 3 2 2 4 2" xfId="478"/>
    <cellStyle name="Обычный 2 3 2 2 4 2 2" xfId="1021"/>
    <cellStyle name="Обычный 2 3 2 2 4 2 2 2" xfId="2635"/>
    <cellStyle name="Обычный 2 3 2 2 4 2 3" xfId="1557"/>
    <cellStyle name="Обычный 2 3 2 2 4 2 3 2" xfId="3171"/>
    <cellStyle name="Обычный 2 3 2 2 4 2 4" xfId="2093"/>
    <cellStyle name="Обычный 2 3 2 2 4 3" xfId="753"/>
    <cellStyle name="Обычный 2 3 2 2 4 3 2" xfId="2367"/>
    <cellStyle name="Обычный 2 3 2 2 4 4" xfId="1289"/>
    <cellStyle name="Обычный 2 3 2 2 4 4 2" xfId="2903"/>
    <cellStyle name="Обычный 2 3 2 2 4 5" xfId="1825"/>
    <cellStyle name="Обычный 2 3 2 2 5" xfId="346"/>
    <cellStyle name="Обычный 2 3 2 2 5 2" xfId="889"/>
    <cellStyle name="Обычный 2 3 2 2 5 2 2" xfId="2503"/>
    <cellStyle name="Обычный 2 3 2 2 5 3" xfId="1425"/>
    <cellStyle name="Обычный 2 3 2 2 5 3 2" xfId="3039"/>
    <cellStyle name="Обычный 2 3 2 2 5 4" xfId="1961"/>
    <cellStyle name="Обычный 2 3 2 2 6" xfId="619"/>
    <cellStyle name="Обычный 2 3 2 2 6 2" xfId="2233"/>
    <cellStyle name="Обычный 2 3 2 2 7" xfId="1157"/>
    <cellStyle name="Обычный 2 3 2 2 7 2" xfId="2771"/>
    <cellStyle name="Обычный 2 3 2 2 8" xfId="1693"/>
    <cellStyle name="Обычный 2 3 2 3" xfId="141"/>
    <cellStyle name="Обычный 2 3 2 3 2" xfId="280"/>
    <cellStyle name="Обычный 2 3 2 3 2 2" xfId="548"/>
    <cellStyle name="Обычный 2 3 2 3 2 2 2" xfId="1091"/>
    <cellStyle name="Обычный 2 3 2 3 2 2 2 2" xfId="2705"/>
    <cellStyle name="Обычный 2 3 2 3 2 2 3" xfId="1627"/>
    <cellStyle name="Обычный 2 3 2 3 2 2 3 2" xfId="3241"/>
    <cellStyle name="Обычный 2 3 2 3 2 2 4" xfId="2163"/>
    <cellStyle name="Обычный 2 3 2 3 2 3" xfId="823"/>
    <cellStyle name="Обычный 2 3 2 3 2 3 2" xfId="2437"/>
    <cellStyle name="Обычный 2 3 2 3 2 4" xfId="1359"/>
    <cellStyle name="Обычный 2 3 2 3 2 4 2" xfId="2973"/>
    <cellStyle name="Обычный 2 3 2 3 2 5" xfId="1895"/>
    <cellStyle name="Обычный 2 3 2 3 3" xfId="416"/>
    <cellStyle name="Обычный 2 3 2 3 3 2" xfId="959"/>
    <cellStyle name="Обычный 2 3 2 3 3 2 2" xfId="2573"/>
    <cellStyle name="Обычный 2 3 2 3 3 3" xfId="1495"/>
    <cellStyle name="Обычный 2 3 2 3 3 3 2" xfId="3109"/>
    <cellStyle name="Обычный 2 3 2 3 3 4" xfId="2031"/>
    <cellStyle name="Обычный 2 3 2 3 4" xfId="691"/>
    <cellStyle name="Обычный 2 3 2 3 4 2" xfId="2305"/>
    <cellStyle name="Обычный 2 3 2 3 5" xfId="1227"/>
    <cellStyle name="Обычный 2 3 2 3 5 2" xfId="2841"/>
    <cellStyle name="Обычный 2 3 2 3 6" xfId="1763"/>
    <cellStyle name="Обычный 2 3 2 4" xfId="93"/>
    <cellStyle name="Обычный 2 3 2 4 2" xfId="235"/>
    <cellStyle name="Обычный 2 3 2 4 2 2" xfId="504"/>
    <cellStyle name="Обычный 2 3 2 4 2 2 2" xfId="1047"/>
    <cellStyle name="Обычный 2 3 2 4 2 2 2 2" xfId="2661"/>
    <cellStyle name="Обычный 2 3 2 4 2 2 3" xfId="1583"/>
    <cellStyle name="Обычный 2 3 2 4 2 2 3 2" xfId="3197"/>
    <cellStyle name="Обычный 2 3 2 4 2 2 4" xfId="2119"/>
    <cellStyle name="Обычный 2 3 2 4 2 3" xfId="779"/>
    <cellStyle name="Обычный 2 3 2 4 2 3 2" xfId="2393"/>
    <cellStyle name="Обычный 2 3 2 4 2 4" xfId="1315"/>
    <cellStyle name="Обычный 2 3 2 4 2 4 2" xfId="2929"/>
    <cellStyle name="Обычный 2 3 2 4 2 5" xfId="1851"/>
    <cellStyle name="Обычный 2 3 2 4 3" xfId="372"/>
    <cellStyle name="Обычный 2 3 2 4 3 2" xfId="915"/>
    <cellStyle name="Обычный 2 3 2 4 3 2 2" xfId="2529"/>
    <cellStyle name="Обычный 2 3 2 4 3 3" xfId="1451"/>
    <cellStyle name="Обычный 2 3 2 4 3 3 2" xfId="3065"/>
    <cellStyle name="Обычный 2 3 2 4 3 4" xfId="1987"/>
    <cellStyle name="Обычный 2 3 2 4 4" xfId="646"/>
    <cellStyle name="Обычный 2 3 2 4 4 2" xfId="2260"/>
    <cellStyle name="Обычный 2 3 2 4 5" xfId="1183"/>
    <cellStyle name="Обычный 2 3 2 4 5 2" xfId="2797"/>
    <cellStyle name="Обычный 2 3 2 4 6" xfId="1719"/>
    <cellStyle name="Обычный 2 3 2 5" xfId="190"/>
    <cellStyle name="Обычный 2 3 2 5 2" xfId="460"/>
    <cellStyle name="Обычный 2 3 2 5 2 2" xfId="1003"/>
    <cellStyle name="Обычный 2 3 2 5 2 2 2" xfId="2617"/>
    <cellStyle name="Обычный 2 3 2 5 2 3" xfId="1539"/>
    <cellStyle name="Обычный 2 3 2 5 2 3 2" xfId="3153"/>
    <cellStyle name="Обычный 2 3 2 5 2 4" xfId="2075"/>
    <cellStyle name="Обычный 2 3 2 5 3" xfId="735"/>
    <cellStyle name="Обычный 2 3 2 5 3 2" xfId="2349"/>
    <cellStyle name="Обычный 2 3 2 5 4" xfId="1271"/>
    <cellStyle name="Обычный 2 3 2 5 4 2" xfId="2885"/>
    <cellStyle name="Обычный 2 3 2 5 5" xfId="1807"/>
    <cellStyle name="Обычный 2 3 2 6" xfId="328"/>
    <cellStyle name="Обычный 2 3 2 6 2" xfId="871"/>
    <cellStyle name="Обычный 2 3 2 6 2 2" xfId="2485"/>
    <cellStyle name="Обычный 2 3 2 6 3" xfId="1407"/>
    <cellStyle name="Обычный 2 3 2 6 3 2" xfId="3021"/>
    <cellStyle name="Обычный 2 3 2 6 4" xfId="1943"/>
    <cellStyle name="Обычный 2 3 2 7" xfId="601"/>
    <cellStyle name="Обычный 2 3 2 7 2" xfId="2215"/>
    <cellStyle name="Обычный 2 3 2 8" xfId="1139"/>
    <cellStyle name="Обычный 2 3 2 8 2" xfId="2753"/>
    <cellStyle name="Обычный 2 3 2 9" xfId="1675"/>
    <cellStyle name="Обычный 2 3 3" xfId="37"/>
    <cellStyle name="Обычный 2 3 3 2" xfId="132"/>
    <cellStyle name="Обычный 2 3 3 2 2" xfId="271"/>
    <cellStyle name="Обычный 2 3 3 2 2 2" xfId="539"/>
    <cellStyle name="Обычный 2 3 3 2 2 2 2" xfId="1082"/>
    <cellStyle name="Обычный 2 3 3 2 2 2 2 2" xfId="2696"/>
    <cellStyle name="Обычный 2 3 3 2 2 2 3" xfId="1618"/>
    <cellStyle name="Обычный 2 3 3 2 2 2 3 2" xfId="3232"/>
    <cellStyle name="Обычный 2 3 3 2 2 2 4" xfId="2154"/>
    <cellStyle name="Обычный 2 3 3 2 2 3" xfId="814"/>
    <cellStyle name="Обычный 2 3 3 2 2 3 2" xfId="2428"/>
    <cellStyle name="Обычный 2 3 3 2 2 4" xfId="1350"/>
    <cellStyle name="Обычный 2 3 3 2 2 4 2" xfId="2964"/>
    <cellStyle name="Обычный 2 3 3 2 2 5" xfId="1886"/>
    <cellStyle name="Обычный 2 3 3 2 3" xfId="407"/>
    <cellStyle name="Обычный 2 3 3 2 3 2" xfId="950"/>
    <cellStyle name="Обычный 2 3 3 2 3 2 2" xfId="2564"/>
    <cellStyle name="Обычный 2 3 3 2 3 3" xfId="1486"/>
    <cellStyle name="Обычный 2 3 3 2 3 3 2" xfId="3100"/>
    <cellStyle name="Обычный 2 3 3 2 3 4" xfId="2022"/>
    <cellStyle name="Обычный 2 3 3 2 4" xfId="682"/>
    <cellStyle name="Обычный 2 3 3 2 4 2" xfId="2296"/>
    <cellStyle name="Обычный 2 3 3 2 5" xfId="1218"/>
    <cellStyle name="Обычный 2 3 3 2 5 2" xfId="2832"/>
    <cellStyle name="Обычный 2 3 3 2 6" xfId="1754"/>
    <cellStyle name="Обычный 2 3 3 3" xfId="84"/>
    <cellStyle name="Обычный 2 3 3 3 2" xfId="226"/>
    <cellStyle name="Обычный 2 3 3 3 2 2" xfId="495"/>
    <cellStyle name="Обычный 2 3 3 3 2 2 2" xfId="1038"/>
    <cellStyle name="Обычный 2 3 3 3 2 2 2 2" xfId="2652"/>
    <cellStyle name="Обычный 2 3 3 3 2 2 3" xfId="1574"/>
    <cellStyle name="Обычный 2 3 3 3 2 2 3 2" xfId="3188"/>
    <cellStyle name="Обычный 2 3 3 3 2 2 4" xfId="2110"/>
    <cellStyle name="Обычный 2 3 3 3 2 3" xfId="770"/>
    <cellStyle name="Обычный 2 3 3 3 2 3 2" xfId="2384"/>
    <cellStyle name="Обычный 2 3 3 3 2 4" xfId="1306"/>
    <cellStyle name="Обычный 2 3 3 3 2 4 2" xfId="2920"/>
    <cellStyle name="Обычный 2 3 3 3 2 5" xfId="1842"/>
    <cellStyle name="Обычный 2 3 3 3 3" xfId="363"/>
    <cellStyle name="Обычный 2 3 3 3 3 2" xfId="906"/>
    <cellStyle name="Обычный 2 3 3 3 3 2 2" xfId="2520"/>
    <cellStyle name="Обычный 2 3 3 3 3 3" xfId="1442"/>
    <cellStyle name="Обычный 2 3 3 3 3 3 2" xfId="3056"/>
    <cellStyle name="Обычный 2 3 3 3 3 4" xfId="1978"/>
    <cellStyle name="Обычный 2 3 3 3 4" xfId="637"/>
    <cellStyle name="Обычный 2 3 3 3 4 2" xfId="2251"/>
    <cellStyle name="Обычный 2 3 3 3 5" xfId="1174"/>
    <cellStyle name="Обычный 2 3 3 3 5 2" xfId="2788"/>
    <cellStyle name="Обычный 2 3 3 3 6" xfId="1710"/>
    <cellStyle name="Обычный 2 3 3 4" xfId="181"/>
    <cellStyle name="Обычный 2 3 3 4 2" xfId="451"/>
    <cellStyle name="Обычный 2 3 3 4 2 2" xfId="994"/>
    <cellStyle name="Обычный 2 3 3 4 2 2 2" xfId="2608"/>
    <cellStyle name="Обычный 2 3 3 4 2 3" xfId="1530"/>
    <cellStyle name="Обычный 2 3 3 4 2 3 2" xfId="3144"/>
    <cellStyle name="Обычный 2 3 3 4 2 4" xfId="2066"/>
    <cellStyle name="Обычный 2 3 3 4 3" xfId="726"/>
    <cellStyle name="Обычный 2 3 3 4 3 2" xfId="2340"/>
    <cellStyle name="Обычный 2 3 3 4 4" xfId="1262"/>
    <cellStyle name="Обычный 2 3 3 4 4 2" xfId="2876"/>
    <cellStyle name="Обычный 2 3 3 4 5" xfId="1798"/>
    <cellStyle name="Обычный 2 3 3 5" xfId="319"/>
    <cellStyle name="Обычный 2 3 3 5 2" xfId="862"/>
    <cellStyle name="Обычный 2 3 3 5 2 2" xfId="2476"/>
    <cellStyle name="Обычный 2 3 3 5 3" xfId="1398"/>
    <cellStyle name="Обычный 2 3 3 5 3 2" xfId="3012"/>
    <cellStyle name="Обычный 2 3 3 5 4" xfId="1934"/>
    <cellStyle name="Обычный 2 3 3 6" xfId="592"/>
    <cellStyle name="Обычный 2 3 3 6 2" xfId="2206"/>
    <cellStyle name="Обычный 2 3 3 7" xfId="1130"/>
    <cellStyle name="Обычный 2 3 3 7 2" xfId="2744"/>
    <cellStyle name="Обычный 2 3 3 8" xfId="1666"/>
    <cellStyle name="Обычный 2 3 4" xfId="54"/>
    <cellStyle name="Обычный 2 3 4 2" xfId="149"/>
    <cellStyle name="Обычный 2 3 4 2 2" xfId="288"/>
    <cellStyle name="Обычный 2 3 4 2 2 2" xfId="556"/>
    <cellStyle name="Обычный 2 3 4 2 2 2 2" xfId="1099"/>
    <cellStyle name="Обычный 2 3 4 2 2 2 2 2" xfId="2713"/>
    <cellStyle name="Обычный 2 3 4 2 2 2 3" xfId="1635"/>
    <cellStyle name="Обычный 2 3 4 2 2 2 3 2" xfId="3249"/>
    <cellStyle name="Обычный 2 3 4 2 2 2 4" xfId="2171"/>
    <cellStyle name="Обычный 2 3 4 2 2 3" xfId="831"/>
    <cellStyle name="Обычный 2 3 4 2 2 3 2" xfId="2445"/>
    <cellStyle name="Обычный 2 3 4 2 2 4" xfId="1367"/>
    <cellStyle name="Обычный 2 3 4 2 2 4 2" xfId="2981"/>
    <cellStyle name="Обычный 2 3 4 2 2 5" xfId="1903"/>
    <cellStyle name="Обычный 2 3 4 2 3" xfId="424"/>
    <cellStyle name="Обычный 2 3 4 2 3 2" xfId="967"/>
    <cellStyle name="Обычный 2 3 4 2 3 2 2" xfId="2581"/>
    <cellStyle name="Обычный 2 3 4 2 3 3" xfId="1503"/>
    <cellStyle name="Обычный 2 3 4 2 3 3 2" xfId="3117"/>
    <cellStyle name="Обычный 2 3 4 2 3 4" xfId="2039"/>
    <cellStyle name="Обычный 2 3 4 2 4" xfId="699"/>
    <cellStyle name="Обычный 2 3 4 2 4 2" xfId="2313"/>
    <cellStyle name="Обычный 2 3 4 2 5" xfId="1235"/>
    <cellStyle name="Обычный 2 3 4 2 5 2" xfId="2849"/>
    <cellStyle name="Обычный 2 3 4 2 6" xfId="1771"/>
    <cellStyle name="Обычный 2 3 4 3" xfId="101"/>
    <cellStyle name="Обычный 2 3 4 3 2" xfId="243"/>
    <cellStyle name="Обычный 2 3 4 3 2 2" xfId="512"/>
    <cellStyle name="Обычный 2 3 4 3 2 2 2" xfId="1055"/>
    <cellStyle name="Обычный 2 3 4 3 2 2 2 2" xfId="2669"/>
    <cellStyle name="Обычный 2 3 4 3 2 2 3" xfId="1591"/>
    <cellStyle name="Обычный 2 3 4 3 2 2 3 2" xfId="3205"/>
    <cellStyle name="Обычный 2 3 4 3 2 2 4" xfId="2127"/>
    <cellStyle name="Обычный 2 3 4 3 2 3" xfId="787"/>
    <cellStyle name="Обычный 2 3 4 3 2 3 2" xfId="2401"/>
    <cellStyle name="Обычный 2 3 4 3 2 4" xfId="1323"/>
    <cellStyle name="Обычный 2 3 4 3 2 4 2" xfId="2937"/>
    <cellStyle name="Обычный 2 3 4 3 2 5" xfId="1859"/>
    <cellStyle name="Обычный 2 3 4 3 3" xfId="380"/>
    <cellStyle name="Обычный 2 3 4 3 3 2" xfId="923"/>
    <cellStyle name="Обычный 2 3 4 3 3 2 2" xfId="2537"/>
    <cellStyle name="Обычный 2 3 4 3 3 3" xfId="1459"/>
    <cellStyle name="Обычный 2 3 4 3 3 3 2" xfId="3073"/>
    <cellStyle name="Обычный 2 3 4 3 3 4" xfId="1995"/>
    <cellStyle name="Обычный 2 3 4 3 4" xfId="654"/>
    <cellStyle name="Обычный 2 3 4 3 4 2" xfId="2268"/>
    <cellStyle name="Обычный 2 3 4 3 5" xfId="1191"/>
    <cellStyle name="Обычный 2 3 4 3 5 2" xfId="2805"/>
    <cellStyle name="Обычный 2 3 4 3 6" xfId="1727"/>
    <cellStyle name="Обычный 2 3 4 4" xfId="198"/>
    <cellStyle name="Обычный 2 3 4 4 2" xfId="468"/>
    <cellStyle name="Обычный 2 3 4 4 2 2" xfId="1011"/>
    <cellStyle name="Обычный 2 3 4 4 2 2 2" xfId="2625"/>
    <cellStyle name="Обычный 2 3 4 4 2 3" xfId="1547"/>
    <cellStyle name="Обычный 2 3 4 4 2 3 2" xfId="3161"/>
    <cellStyle name="Обычный 2 3 4 4 2 4" xfId="2083"/>
    <cellStyle name="Обычный 2 3 4 4 3" xfId="743"/>
    <cellStyle name="Обычный 2 3 4 4 3 2" xfId="2357"/>
    <cellStyle name="Обычный 2 3 4 4 4" xfId="1279"/>
    <cellStyle name="Обычный 2 3 4 4 4 2" xfId="2893"/>
    <cellStyle name="Обычный 2 3 4 4 5" xfId="1815"/>
    <cellStyle name="Обычный 2 3 4 5" xfId="336"/>
    <cellStyle name="Обычный 2 3 4 5 2" xfId="879"/>
    <cellStyle name="Обычный 2 3 4 5 2 2" xfId="2493"/>
    <cellStyle name="Обычный 2 3 4 5 3" xfId="1415"/>
    <cellStyle name="Обычный 2 3 4 5 3 2" xfId="3029"/>
    <cellStyle name="Обычный 2 3 4 5 4" xfId="1951"/>
    <cellStyle name="Обычный 2 3 4 6" xfId="609"/>
    <cellStyle name="Обычный 2 3 4 6 2" xfId="2223"/>
    <cellStyle name="Обычный 2 3 4 7" xfId="1147"/>
    <cellStyle name="Обычный 2 3 4 7 2" xfId="2761"/>
    <cellStyle name="Обычный 2 3 4 8" xfId="1683"/>
    <cellStyle name="Обычный 2 3 5" xfId="121"/>
    <cellStyle name="Обычный 2 3 5 2" xfId="262"/>
    <cellStyle name="Обычный 2 3 5 2 2" xfId="531"/>
    <cellStyle name="Обычный 2 3 5 2 2 2" xfId="1074"/>
    <cellStyle name="Обычный 2 3 5 2 2 2 2" xfId="2688"/>
    <cellStyle name="Обычный 2 3 5 2 2 3" xfId="1610"/>
    <cellStyle name="Обычный 2 3 5 2 2 3 2" xfId="3224"/>
    <cellStyle name="Обычный 2 3 5 2 2 4" xfId="2146"/>
    <cellStyle name="Обычный 2 3 5 2 3" xfId="806"/>
    <cellStyle name="Обычный 2 3 5 2 3 2" xfId="2420"/>
    <cellStyle name="Обычный 2 3 5 2 4" xfId="1342"/>
    <cellStyle name="Обычный 2 3 5 2 4 2" xfId="2956"/>
    <cellStyle name="Обычный 2 3 5 2 5" xfId="1878"/>
    <cellStyle name="Обычный 2 3 5 3" xfId="399"/>
    <cellStyle name="Обычный 2 3 5 3 2" xfId="942"/>
    <cellStyle name="Обычный 2 3 5 3 2 2" xfId="2556"/>
    <cellStyle name="Обычный 2 3 5 3 3" xfId="1478"/>
    <cellStyle name="Обычный 2 3 5 3 3 2" xfId="3092"/>
    <cellStyle name="Обычный 2 3 5 3 4" xfId="2014"/>
    <cellStyle name="Обычный 2 3 5 4" xfId="673"/>
    <cellStyle name="Обычный 2 3 5 4 2" xfId="2287"/>
    <cellStyle name="Обычный 2 3 5 5" xfId="1210"/>
    <cellStyle name="Обычный 2 3 5 5 2" xfId="2824"/>
    <cellStyle name="Обычный 2 3 5 6" xfId="1746"/>
    <cellStyle name="Обычный 2 3 6" xfId="73"/>
    <cellStyle name="Обычный 2 3 6 2" xfId="217"/>
    <cellStyle name="Обычный 2 3 6 2 2" xfId="487"/>
    <cellStyle name="Обычный 2 3 6 2 2 2" xfId="1030"/>
    <cellStyle name="Обычный 2 3 6 2 2 2 2" xfId="2644"/>
    <cellStyle name="Обычный 2 3 6 2 2 3" xfId="1566"/>
    <cellStyle name="Обычный 2 3 6 2 2 3 2" xfId="3180"/>
    <cellStyle name="Обычный 2 3 6 2 2 4" xfId="2102"/>
    <cellStyle name="Обычный 2 3 6 2 3" xfId="762"/>
    <cellStyle name="Обычный 2 3 6 2 3 2" xfId="2376"/>
    <cellStyle name="Обычный 2 3 6 2 4" xfId="1298"/>
    <cellStyle name="Обычный 2 3 6 2 4 2" xfId="2912"/>
    <cellStyle name="Обычный 2 3 6 2 5" xfId="1834"/>
    <cellStyle name="Обычный 2 3 6 3" xfId="355"/>
    <cellStyle name="Обычный 2 3 6 3 2" xfId="898"/>
    <cellStyle name="Обычный 2 3 6 3 2 2" xfId="2512"/>
    <cellStyle name="Обычный 2 3 6 3 3" xfId="1434"/>
    <cellStyle name="Обычный 2 3 6 3 3 2" xfId="3048"/>
    <cellStyle name="Обычный 2 3 6 3 4" xfId="1970"/>
    <cellStyle name="Обычный 2 3 6 4" xfId="628"/>
    <cellStyle name="Обычный 2 3 6 4 2" xfId="2242"/>
    <cellStyle name="Обычный 2 3 6 5" xfId="1166"/>
    <cellStyle name="Обычный 2 3 6 5 2" xfId="2780"/>
    <cellStyle name="Обычный 2 3 6 6" xfId="1702"/>
    <cellStyle name="Обычный 2 3 7" xfId="171"/>
    <cellStyle name="Обычный 2 3 7 2" xfId="443"/>
    <cellStyle name="Обычный 2 3 7 2 2" xfId="986"/>
    <cellStyle name="Обычный 2 3 7 2 2 2" xfId="2600"/>
    <cellStyle name="Обычный 2 3 7 2 3" xfId="1522"/>
    <cellStyle name="Обычный 2 3 7 2 3 2" xfId="3136"/>
    <cellStyle name="Обычный 2 3 7 2 4" xfId="2058"/>
    <cellStyle name="Обычный 2 3 7 3" xfId="718"/>
    <cellStyle name="Обычный 2 3 7 3 2" xfId="2332"/>
    <cellStyle name="Обычный 2 3 7 4" xfId="1254"/>
    <cellStyle name="Обычный 2 3 7 4 2" xfId="2868"/>
    <cellStyle name="Обычный 2 3 7 5" xfId="1790"/>
    <cellStyle name="Обычный 2 3 8" xfId="302"/>
    <cellStyle name="Обычный 2 3 8 2" xfId="570"/>
    <cellStyle name="Обычный 2 3 8 2 2" xfId="1113"/>
    <cellStyle name="Обычный 2 3 8 2 2 2" xfId="2727"/>
    <cellStyle name="Обычный 2 3 8 2 3" xfId="1649"/>
    <cellStyle name="Обычный 2 3 8 2 3 2" xfId="3263"/>
    <cellStyle name="Обычный 2 3 8 2 4" xfId="2185"/>
    <cellStyle name="Обычный 2 3 8 3" xfId="845"/>
    <cellStyle name="Обычный 2 3 8 3 2" xfId="2459"/>
    <cellStyle name="Обычный 2 3 8 4" xfId="1381"/>
    <cellStyle name="Обычный 2 3 8 4 2" xfId="2995"/>
    <cellStyle name="Обычный 2 3 8 5" xfId="1917"/>
    <cellStyle name="Обычный 2 3 9" xfId="304"/>
    <cellStyle name="Обычный 2 3 9 2" xfId="572"/>
    <cellStyle name="Обычный 2 3 9 2 2" xfId="1115"/>
    <cellStyle name="Обычный 2 3 9 2 2 2" xfId="2729"/>
    <cellStyle name="Обычный 2 3 9 2 3" xfId="1651"/>
    <cellStyle name="Обычный 2 3 9 2 3 2" xfId="3265"/>
    <cellStyle name="Обычный 2 3 9 2 4" xfId="2187"/>
    <cellStyle name="Обычный 2 3 9 3" xfId="847"/>
    <cellStyle name="Обычный 2 3 9 3 2" xfId="2461"/>
    <cellStyle name="Обычный 2 3 9 4" xfId="1383"/>
    <cellStyle name="Обычный 2 3 9 4 2" xfId="2997"/>
    <cellStyle name="Обычный 2 3 9 5" xfId="1919"/>
    <cellStyle name="Обычный 2 4" xfId="41"/>
    <cellStyle name="Обычный 2 4 2" xfId="59"/>
    <cellStyle name="Обычный 2 4 2 2" xfId="154"/>
    <cellStyle name="Обычный 2 4 2 2 2" xfId="293"/>
    <cellStyle name="Обычный 2 4 2 2 2 2" xfId="561"/>
    <cellStyle name="Обычный 2 4 2 2 2 2 2" xfId="1104"/>
    <cellStyle name="Обычный 2 4 2 2 2 2 2 2" xfId="2718"/>
    <cellStyle name="Обычный 2 4 2 2 2 2 3" xfId="1640"/>
    <cellStyle name="Обычный 2 4 2 2 2 2 3 2" xfId="3254"/>
    <cellStyle name="Обычный 2 4 2 2 2 2 4" xfId="2176"/>
    <cellStyle name="Обычный 2 4 2 2 2 3" xfId="836"/>
    <cellStyle name="Обычный 2 4 2 2 2 3 2" xfId="2450"/>
    <cellStyle name="Обычный 2 4 2 2 2 4" xfId="1372"/>
    <cellStyle name="Обычный 2 4 2 2 2 4 2" xfId="2986"/>
    <cellStyle name="Обычный 2 4 2 2 2 5" xfId="1908"/>
    <cellStyle name="Обычный 2 4 2 2 3" xfId="429"/>
    <cellStyle name="Обычный 2 4 2 2 3 2" xfId="972"/>
    <cellStyle name="Обычный 2 4 2 2 3 2 2" xfId="2586"/>
    <cellStyle name="Обычный 2 4 2 2 3 3" xfId="1508"/>
    <cellStyle name="Обычный 2 4 2 2 3 3 2" xfId="3122"/>
    <cellStyle name="Обычный 2 4 2 2 3 4" xfId="2044"/>
    <cellStyle name="Обычный 2 4 2 2 4" xfId="704"/>
    <cellStyle name="Обычный 2 4 2 2 4 2" xfId="2318"/>
    <cellStyle name="Обычный 2 4 2 2 5" xfId="1240"/>
    <cellStyle name="Обычный 2 4 2 2 5 2" xfId="2854"/>
    <cellStyle name="Обычный 2 4 2 2 6" xfId="1776"/>
    <cellStyle name="Обычный 2 4 2 3" xfId="106"/>
    <cellStyle name="Обычный 2 4 2 3 2" xfId="248"/>
    <cellStyle name="Обычный 2 4 2 3 2 2" xfId="517"/>
    <cellStyle name="Обычный 2 4 2 3 2 2 2" xfId="1060"/>
    <cellStyle name="Обычный 2 4 2 3 2 2 2 2" xfId="2674"/>
    <cellStyle name="Обычный 2 4 2 3 2 2 3" xfId="1596"/>
    <cellStyle name="Обычный 2 4 2 3 2 2 3 2" xfId="3210"/>
    <cellStyle name="Обычный 2 4 2 3 2 2 4" xfId="2132"/>
    <cellStyle name="Обычный 2 4 2 3 2 3" xfId="792"/>
    <cellStyle name="Обычный 2 4 2 3 2 3 2" xfId="2406"/>
    <cellStyle name="Обычный 2 4 2 3 2 4" xfId="1328"/>
    <cellStyle name="Обычный 2 4 2 3 2 4 2" xfId="2942"/>
    <cellStyle name="Обычный 2 4 2 3 2 5" xfId="1864"/>
    <cellStyle name="Обычный 2 4 2 3 3" xfId="385"/>
    <cellStyle name="Обычный 2 4 2 3 3 2" xfId="928"/>
    <cellStyle name="Обычный 2 4 2 3 3 2 2" xfId="2542"/>
    <cellStyle name="Обычный 2 4 2 3 3 3" xfId="1464"/>
    <cellStyle name="Обычный 2 4 2 3 3 3 2" xfId="3078"/>
    <cellStyle name="Обычный 2 4 2 3 3 4" xfId="2000"/>
    <cellStyle name="Обычный 2 4 2 3 4" xfId="659"/>
    <cellStyle name="Обычный 2 4 2 3 4 2" xfId="2273"/>
    <cellStyle name="Обычный 2 4 2 3 5" xfId="1196"/>
    <cellStyle name="Обычный 2 4 2 3 5 2" xfId="2810"/>
    <cellStyle name="Обычный 2 4 2 3 6" xfId="1732"/>
    <cellStyle name="Обычный 2 4 2 4" xfId="203"/>
    <cellStyle name="Обычный 2 4 2 4 2" xfId="473"/>
    <cellStyle name="Обычный 2 4 2 4 2 2" xfId="1016"/>
    <cellStyle name="Обычный 2 4 2 4 2 2 2" xfId="2630"/>
    <cellStyle name="Обычный 2 4 2 4 2 3" xfId="1552"/>
    <cellStyle name="Обычный 2 4 2 4 2 3 2" xfId="3166"/>
    <cellStyle name="Обычный 2 4 2 4 2 4" xfId="2088"/>
    <cellStyle name="Обычный 2 4 2 4 3" xfId="748"/>
    <cellStyle name="Обычный 2 4 2 4 3 2" xfId="2362"/>
    <cellStyle name="Обычный 2 4 2 4 4" xfId="1284"/>
    <cellStyle name="Обычный 2 4 2 4 4 2" xfId="2898"/>
    <cellStyle name="Обычный 2 4 2 4 5" xfId="1820"/>
    <cellStyle name="Обычный 2 4 2 5" xfId="341"/>
    <cellStyle name="Обычный 2 4 2 5 2" xfId="884"/>
    <cellStyle name="Обычный 2 4 2 5 2 2" xfId="2498"/>
    <cellStyle name="Обычный 2 4 2 5 3" xfId="1420"/>
    <cellStyle name="Обычный 2 4 2 5 3 2" xfId="3034"/>
    <cellStyle name="Обычный 2 4 2 5 4" xfId="1956"/>
    <cellStyle name="Обычный 2 4 2 6" xfId="614"/>
    <cellStyle name="Обычный 2 4 2 6 2" xfId="2228"/>
    <cellStyle name="Обычный 2 4 2 7" xfId="1152"/>
    <cellStyle name="Обычный 2 4 2 7 2" xfId="2766"/>
    <cellStyle name="Обычный 2 4 2 8" xfId="1688"/>
    <cellStyle name="Обычный 2 4 3" xfId="136"/>
    <cellStyle name="Обычный 2 4 3 2" xfId="275"/>
    <cellStyle name="Обычный 2 4 3 2 2" xfId="543"/>
    <cellStyle name="Обычный 2 4 3 2 2 2" xfId="1086"/>
    <cellStyle name="Обычный 2 4 3 2 2 2 2" xfId="2700"/>
    <cellStyle name="Обычный 2 4 3 2 2 3" xfId="1622"/>
    <cellStyle name="Обычный 2 4 3 2 2 3 2" xfId="3236"/>
    <cellStyle name="Обычный 2 4 3 2 2 4" xfId="2158"/>
    <cellStyle name="Обычный 2 4 3 2 3" xfId="818"/>
    <cellStyle name="Обычный 2 4 3 2 3 2" xfId="2432"/>
    <cellStyle name="Обычный 2 4 3 2 4" xfId="1354"/>
    <cellStyle name="Обычный 2 4 3 2 4 2" xfId="2968"/>
    <cellStyle name="Обычный 2 4 3 2 5" xfId="1890"/>
    <cellStyle name="Обычный 2 4 3 3" xfId="411"/>
    <cellStyle name="Обычный 2 4 3 3 2" xfId="954"/>
    <cellStyle name="Обычный 2 4 3 3 2 2" xfId="2568"/>
    <cellStyle name="Обычный 2 4 3 3 3" xfId="1490"/>
    <cellStyle name="Обычный 2 4 3 3 3 2" xfId="3104"/>
    <cellStyle name="Обычный 2 4 3 3 4" xfId="2026"/>
    <cellStyle name="Обычный 2 4 3 4" xfId="686"/>
    <cellStyle name="Обычный 2 4 3 4 2" xfId="2300"/>
    <cellStyle name="Обычный 2 4 3 5" xfId="1222"/>
    <cellStyle name="Обычный 2 4 3 5 2" xfId="2836"/>
    <cellStyle name="Обычный 2 4 3 6" xfId="1758"/>
    <cellStyle name="Обычный 2 4 4" xfId="88"/>
    <cellStyle name="Обычный 2 4 4 2" xfId="230"/>
    <cellStyle name="Обычный 2 4 4 2 2" xfId="499"/>
    <cellStyle name="Обычный 2 4 4 2 2 2" xfId="1042"/>
    <cellStyle name="Обычный 2 4 4 2 2 2 2" xfId="2656"/>
    <cellStyle name="Обычный 2 4 4 2 2 3" xfId="1578"/>
    <cellStyle name="Обычный 2 4 4 2 2 3 2" xfId="3192"/>
    <cellStyle name="Обычный 2 4 4 2 2 4" xfId="2114"/>
    <cellStyle name="Обычный 2 4 4 2 3" xfId="774"/>
    <cellStyle name="Обычный 2 4 4 2 3 2" xfId="2388"/>
    <cellStyle name="Обычный 2 4 4 2 4" xfId="1310"/>
    <cellStyle name="Обычный 2 4 4 2 4 2" xfId="2924"/>
    <cellStyle name="Обычный 2 4 4 2 5" xfId="1846"/>
    <cellStyle name="Обычный 2 4 4 3" xfId="367"/>
    <cellStyle name="Обычный 2 4 4 3 2" xfId="910"/>
    <cellStyle name="Обычный 2 4 4 3 2 2" xfId="2524"/>
    <cellStyle name="Обычный 2 4 4 3 3" xfId="1446"/>
    <cellStyle name="Обычный 2 4 4 3 3 2" xfId="3060"/>
    <cellStyle name="Обычный 2 4 4 3 4" xfId="1982"/>
    <cellStyle name="Обычный 2 4 4 4" xfId="641"/>
    <cellStyle name="Обычный 2 4 4 4 2" xfId="2255"/>
    <cellStyle name="Обычный 2 4 4 5" xfId="1178"/>
    <cellStyle name="Обычный 2 4 4 5 2" xfId="2792"/>
    <cellStyle name="Обычный 2 4 4 6" xfId="1714"/>
    <cellStyle name="Обычный 2 4 5" xfId="185"/>
    <cellStyle name="Обычный 2 4 5 2" xfId="455"/>
    <cellStyle name="Обычный 2 4 5 2 2" xfId="998"/>
    <cellStyle name="Обычный 2 4 5 2 2 2" xfId="2612"/>
    <cellStyle name="Обычный 2 4 5 2 3" xfId="1534"/>
    <cellStyle name="Обычный 2 4 5 2 3 2" xfId="3148"/>
    <cellStyle name="Обычный 2 4 5 2 4" xfId="2070"/>
    <cellStyle name="Обычный 2 4 5 3" xfId="730"/>
    <cellStyle name="Обычный 2 4 5 3 2" xfId="2344"/>
    <cellStyle name="Обычный 2 4 5 4" xfId="1266"/>
    <cellStyle name="Обычный 2 4 5 4 2" xfId="2880"/>
    <cellStyle name="Обычный 2 4 5 5" xfId="1802"/>
    <cellStyle name="Обычный 2 4 6" xfId="323"/>
    <cellStyle name="Обычный 2 4 6 2" xfId="866"/>
    <cellStyle name="Обычный 2 4 6 2 2" xfId="2480"/>
    <cellStyle name="Обычный 2 4 6 3" xfId="1402"/>
    <cellStyle name="Обычный 2 4 6 3 2" xfId="3016"/>
    <cellStyle name="Обычный 2 4 6 4" xfId="1938"/>
    <cellStyle name="Обычный 2 4 7" xfId="596"/>
    <cellStyle name="Обычный 2 4 7 2" xfId="2210"/>
    <cellStyle name="Обычный 2 4 8" xfId="1134"/>
    <cellStyle name="Обычный 2 4 8 2" xfId="2748"/>
    <cellStyle name="Обычный 2 4 9" xfId="1670"/>
    <cellStyle name="Обычный 2 5" xfId="30"/>
    <cellStyle name="Обычный 2 5 2" xfId="125"/>
    <cellStyle name="Обычный 2 5 2 2" xfId="266"/>
    <cellStyle name="Обычный 2 5 2 2 2" xfId="535"/>
    <cellStyle name="Обычный 2 5 2 2 2 2" xfId="1078"/>
    <cellStyle name="Обычный 2 5 2 2 2 2 2" xfId="2692"/>
    <cellStyle name="Обычный 2 5 2 2 2 3" xfId="1614"/>
    <cellStyle name="Обычный 2 5 2 2 2 3 2" xfId="3228"/>
    <cellStyle name="Обычный 2 5 2 2 2 4" xfId="2150"/>
    <cellStyle name="Обычный 2 5 2 2 3" xfId="810"/>
    <cellStyle name="Обычный 2 5 2 2 3 2" xfId="2424"/>
    <cellStyle name="Обычный 2 5 2 2 4" xfId="1346"/>
    <cellStyle name="Обычный 2 5 2 2 4 2" xfId="2960"/>
    <cellStyle name="Обычный 2 5 2 2 5" xfId="1882"/>
    <cellStyle name="Обычный 2 5 2 3" xfId="403"/>
    <cellStyle name="Обычный 2 5 2 3 2" xfId="946"/>
    <cellStyle name="Обычный 2 5 2 3 2 2" xfId="2560"/>
    <cellStyle name="Обычный 2 5 2 3 3" xfId="1482"/>
    <cellStyle name="Обычный 2 5 2 3 3 2" xfId="3096"/>
    <cellStyle name="Обычный 2 5 2 3 4" xfId="2018"/>
    <cellStyle name="Обычный 2 5 2 4" xfId="677"/>
    <cellStyle name="Обычный 2 5 2 4 2" xfId="2291"/>
    <cellStyle name="Обычный 2 5 2 5" xfId="1214"/>
    <cellStyle name="Обычный 2 5 2 5 2" xfId="2828"/>
    <cellStyle name="Обычный 2 5 2 6" xfId="1750"/>
    <cellStyle name="Обычный 2 5 3" xfId="77"/>
    <cellStyle name="Обычный 2 5 3 2" xfId="221"/>
    <cellStyle name="Обычный 2 5 3 2 2" xfId="491"/>
    <cellStyle name="Обычный 2 5 3 2 2 2" xfId="1034"/>
    <cellStyle name="Обычный 2 5 3 2 2 2 2" xfId="2648"/>
    <cellStyle name="Обычный 2 5 3 2 2 3" xfId="1570"/>
    <cellStyle name="Обычный 2 5 3 2 2 3 2" xfId="3184"/>
    <cellStyle name="Обычный 2 5 3 2 2 4" xfId="2106"/>
    <cellStyle name="Обычный 2 5 3 2 3" xfId="766"/>
    <cellStyle name="Обычный 2 5 3 2 3 2" xfId="2380"/>
    <cellStyle name="Обычный 2 5 3 2 4" xfId="1302"/>
    <cellStyle name="Обычный 2 5 3 2 4 2" xfId="2916"/>
    <cellStyle name="Обычный 2 5 3 2 5" xfId="1838"/>
    <cellStyle name="Обычный 2 5 3 3" xfId="359"/>
    <cellStyle name="Обычный 2 5 3 3 2" xfId="902"/>
    <cellStyle name="Обычный 2 5 3 3 2 2" xfId="2516"/>
    <cellStyle name="Обычный 2 5 3 3 3" xfId="1438"/>
    <cellStyle name="Обычный 2 5 3 3 3 2" xfId="3052"/>
    <cellStyle name="Обычный 2 5 3 3 4" xfId="1974"/>
    <cellStyle name="Обычный 2 5 3 4" xfId="632"/>
    <cellStyle name="Обычный 2 5 3 4 2" xfId="2246"/>
    <cellStyle name="Обычный 2 5 3 5" xfId="1170"/>
    <cellStyle name="Обычный 2 5 3 5 2" xfId="2784"/>
    <cellStyle name="Обычный 2 5 3 6" xfId="1706"/>
    <cellStyle name="Обычный 2 5 4" xfId="176"/>
    <cellStyle name="Обычный 2 5 4 2" xfId="447"/>
    <cellStyle name="Обычный 2 5 4 2 2" xfId="990"/>
    <cellStyle name="Обычный 2 5 4 2 2 2" xfId="2604"/>
    <cellStyle name="Обычный 2 5 4 2 3" xfId="1526"/>
    <cellStyle name="Обычный 2 5 4 2 3 2" xfId="3140"/>
    <cellStyle name="Обычный 2 5 4 2 4" xfId="2062"/>
    <cellStyle name="Обычный 2 5 4 3" xfId="722"/>
    <cellStyle name="Обычный 2 5 4 3 2" xfId="2336"/>
    <cellStyle name="Обычный 2 5 4 4" xfId="1258"/>
    <cellStyle name="Обычный 2 5 4 4 2" xfId="2872"/>
    <cellStyle name="Обычный 2 5 4 5" xfId="1794"/>
    <cellStyle name="Обычный 2 5 5" xfId="315"/>
    <cellStyle name="Обычный 2 5 5 2" xfId="858"/>
    <cellStyle name="Обычный 2 5 5 2 2" xfId="2472"/>
    <cellStyle name="Обычный 2 5 5 3" xfId="1394"/>
    <cellStyle name="Обычный 2 5 5 3 2" xfId="3008"/>
    <cellStyle name="Обычный 2 5 5 4" xfId="1930"/>
    <cellStyle name="Обычный 2 5 6" xfId="587"/>
    <cellStyle name="Обычный 2 5 6 2" xfId="2201"/>
    <cellStyle name="Обычный 2 5 7" xfId="1126"/>
    <cellStyle name="Обычный 2 5 7 2" xfId="2740"/>
    <cellStyle name="Обычный 2 5 8" xfId="1662"/>
    <cellStyle name="Обычный 2 6" xfId="50"/>
    <cellStyle name="Обычный 2 6 2" xfId="145"/>
    <cellStyle name="Обычный 2 6 2 2" xfId="284"/>
    <cellStyle name="Обычный 2 6 2 2 2" xfId="552"/>
    <cellStyle name="Обычный 2 6 2 2 2 2" xfId="1095"/>
    <cellStyle name="Обычный 2 6 2 2 2 2 2" xfId="2709"/>
    <cellStyle name="Обычный 2 6 2 2 2 3" xfId="1631"/>
    <cellStyle name="Обычный 2 6 2 2 2 3 2" xfId="3245"/>
    <cellStyle name="Обычный 2 6 2 2 2 4" xfId="2167"/>
    <cellStyle name="Обычный 2 6 2 2 3" xfId="827"/>
    <cellStyle name="Обычный 2 6 2 2 3 2" xfId="2441"/>
    <cellStyle name="Обычный 2 6 2 2 4" xfId="1363"/>
    <cellStyle name="Обычный 2 6 2 2 4 2" xfId="2977"/>
    <cellStyle name="Обычный 2 6 2 2 5" xfId="1899"/>
    <cellStyle name="Обычный 2 6 2 3" xfId="420"/>
    <cellStyle name="Обычный 2 6 2 3 2" xfId="963"/>
    <cellStyle name="Обычный 2 6 2 3 2 2" xfId="2577"/>
    <cellStyle name="Обычный 2 6 2 3 3" xfId="1499"/>
    <cellStyle name="Обычный 2 6 2 3 3 2" xfId="3113"/>
    <cellStyle name="Обычный 2 6 2 3 4" xfId="2035"/>
    <cellStyle name="Обычный 2 6 2 4" xfId="695"/>
    <cellStyle name="Обычный 2 6 2 4 2" xfId="2309"/>
    <cellStyle name="Обычный 2 6 2 5" xfId="1231"/>
    <cellStyle name="Обычный 2 6 2 5 2" xfId="2845"/>
    <cellStyle name="Обычный 2 6 2 6" xfId="1767"/>
    <cellStyle name="Обычный 2 6 3" xfId="97"/>
    <cellStyle name="Обычный 2 6 3 2" xfId="239"/>
    <cellStyle name="Обычный 2 6 3 2 2" xfId="508"/>
    <cellStyle name="Обычный 2 6 3 2 2 2" xfId="1051"/>
    <cellStyle name="Обычный 2 6 3 2 2 2 2" xfId="2665"/>
    <cellStyle name="Обычный 2 6 3 2 2 3" xfId="1587"/>
    <cellStyle name="Обычный 2 6 3 2 2 3 2" xfId="3201"/>
    <cellStyle name="Обычный 2 6 3 2 2 4" xfId="2123"/>
    <cellStyle name="Обычный 2 6 3 2 3" xfId="783"/>
    <cellStyle name="Обычный 2 6 3 2 3 2" xfId="2397"/>
    <cellStyle name="Обычный 2 6 3 2 4" xfId="1319"/>
    <cellStyle name="Обычный 2 6 3 2 4 2" xfId="2933"/>
    <cellStyle name="Обычный 2 6 3 2 5" xfId="1855"/>
    <cellStyle name="Обычный 2 6 3 3" xfId="376"/>
    <cellStyle name="Обычный 2 6 3 3 2" xfId="919"/>
    <cellStyle name="Обычный 2 6 3 3 2 2" xfId="2533"/>
    <cellStyle name="Обычный 2 6 3 3 3" xfId="1455"/>
    <cellStyle name="Обычный 2 6 3 3 3 2" xfId="3069"/>
    <cellStyle name="Обычный 2 6 3 3 4" xfId="1991"/>
    <cellStyle name="Обычный 2 6 3 4" xfId="650"/>
    <cellStyle name="Обычный 2 6 3 4 2" xfId="2264"/>
    <cellStyle name="Обычный 2 6 3 5" xfId="1187"/>
    <cellStyle name="Обычный 2 6 3 5 2" xfId="2801"/>
    <cellStyle name="Обычный 2 6 3 6" xfId="1723"/>
    <cellStyle name="Обычный 2 6 4" xfId="194"/>
    <cellStyle name="Обычный 2 6 4 2" xfId="464"/>
    <cellStyle name="Обычный 2 6 4 2 2" xfId="1007"/>
    <cellStyle name="Обычный 2 6 4 2 2 2" xfId="2621"/>
    <cellStyle name="Обычный 2 6 4 2 3" xfId="1543"/>
    <cellStyle name="Обычный 2 6 4 2 3 2" xfId="3157"/>
    <cellStyle name="Обычный 2 6 4 2 4" xfId="2079"/>
    <cellStyle name="Обычный 2 6 4 3" xfId="739"/>
    <cellStyle name="Обычный 2 6 4 3 2" xfId="2353"/>
    <cellStyle name="Обычный 2 6 4 4" xfId="1275"/>
    <cellStyle name="Обычный 2 6 4 4 2" xfId="2889"/>
    <cellStyle name="Обычный 2 6 4 5" xfId="1811"/>
    <cellStyle name="Обычный 2 6 5" xfId="332"/>
    <cellStyle name="Обычный 2 6 5 2" xfId="875"/>
    <cellStyle name="Обычный 2 6 5 2 2" xfId="2489"/>
    <cellStyle name="Обычный 2 6 5 3" xfId="1411"/>
    <cellStyle name="Обычный 2 6 5 3 2" xfId="3025"/>
    <cellStyle name="Обычный 2 6 5 4" xfId="1947"/>
    <cellStyle name="Обычный 2 6 6" xfId="605"/>
    <cellStyle name="Обычный 2 6 6 2" xfId="2219"/>
    <cellStyle name="Обычный 2 6 7" xfId="1143"/>
    <cellStyle name="Обычный 2 6 7 2" xfId="2757"/>
    <cellStyle name="Обычный 2 6 8" xfId="1679"/>
    <cellStyle name="Обычный 2 7" xfId="116"/>
    <cellStyle name="Обычный 2 7 2" xfId="257"/>
    <cellStyle name="Обычный 2 7 2 2" xfId="526"/>
    <cellStyle name="Обычный 2 7 2 2 2" xfId="1069"/>
    <cellStyle name="Обычный 2 7 2 2 2 2" xfId="2683"/>
    <cellStyle name="Обычный 2 7 2 2 3" xfId="1605"/>
    <cellStyle name="Обычный 2 7 2 2 3 2" xfId="3219"/>
    <cellStyle name="Обычный 2 7 2 2 4" xfId="2141"/>
    <cellStyle name="Обычный 2 7 2 3" xfId="801"/>
    <cellStyle name="Обычный 2 7 2 3 2" xfId="2415"/>
    <cellStyle name="Обычный 2 7 2 4" xfId="1337"/>
    <cellStyle name="Обычный 2 7 2 4 2" xfId="2951"/>
    <cellStyle name="Обычный 2 7 2 5" xfId="1873"/>
    <cellStyle name="Обычный 2 7 3" xfId="394"/>
    <cellStyle name="Обычный 2 7 3 2" xfId="937"/>
    <cellStyle name="Обычный 2 7 3 2 2" xfId="2551"/>
    <cellStyle name="Обычный 2 7 3 3" xfId="1473"/>
    <cellStyle name="Обычный 2 7 3 3 2" xfId="3087"/>
    <cellStyle name="Обычный 2 7 3 4" xfId="2009"/>
    <cellStyle name="Обычный 2 7 4" xfId="668"/>
    <cellStyle name="Обычный 2 7 4 2" xfId="2282"/>
    <cellStyle name="Обычный 2 7 5" xfId="1205"/>
    <cellStyle name="Обычный 2 7 5 2" xfId="2819"/>
    <cellStyle name="Обычный 2 7 6" xfId="1741"/>
    <cellStyle name="Обычный 2 8" xfId="68"/>
    <cellStyle name="Обычный 2 8 2" xfId="212"/>
    <cellStyle name="Обычный 2 8 2 2" xfId="482"/>
    <cellStyle name="Обычный 2 8 2 2 2" xfId="1025"/>
    <cellStyle name="Обычный 2 8 2 2 2 2" xfId="2639"/>
    <cellStyle name="Обычный 2 8 2 2 3" xfId="1561"/>
    <cellStyle name="Обычный 2 8 2 2 3 2" xfId="3175"/>
    <cellStyle name="Обычный 2 8 2 2 4" xfId="2097"/>
    <cellStyle name="Обычный 2 8 2 3" xfId="757"/>
    <cellStyle name="Обычный 2 8 2 3 2" xfId="2371"/>
    <cellStyle name="Обычный 2 8 2 4" xfId="1293"/>
    <cellStyle name="Обычный 2 8 2 4 2" xfId="2907"/>
    <cellStyle name="Обычный 2 8 2 5" xfId="1829"/>
    <cellStyle name="Обычный 2 8 3" xfId="350"/>
    <cellStyle name="Обычный 2 8 3 2" xfId="893"/>
    <cellStyle name="Обычный 2 8 3 2 2" xfId="2507"/>
    <cellStyle name="Обычный 2 8 3 3" xfId="1429"/>
    <cellStyle name="Обычный 2 8 3 3 2" xfId="3043"/>
    <cellStyle name="Обычный 2 8 3 4" xfId="1965"/>
    <cellStyle name="Обычный 2 8 4" xfId="623"/>
    <cellStyle name="Обычный 2 8 4 2" xfId="2237"/>
    <cellStyle name="Обычный 2 8 5" xfId="1161"/>
    <cellStyle name="Обычный 2 8 5 2" xfId="2775"/>
    <cellStyle name="Обычный 2 8 6" xfId="1697"/>
    <cellStyle name="Обычный 2 9" xfId="164"/>
    <cellStyle name="Обычный 2 9 2" xfId="438"/>
    <cellStyle name="Обычный 2 9 2 2" xfId="981"/>
    <cellStyle name="Обычный 2 9 2 2 2" xfId="2595"/>
    <cellStyle name="Обычный 2 9 2 3" xfId="1517"/>
    <cellStyle name="Обычный 2 9 2 3 2" xfId="3131"/>
    <cellStyle name="Обычный 2 9 2 4" xfId="2053"/>
    <cellStyle name="Обычный 2 9 3" xfId="713"/>
    <cellStyle name="Обычный 2 9 3 2" xfId="2327"/>
    <cellStyle name="Обычный 2 9 4" xfId="1249"/>
    <cellStyle name="Обычный 2 9 4 2" xfId="2863"/>
    <cellStyle name="Обычный 2 9 5" xfId="1785"/>
    <cellStyle name="Обычный 3" xfId="17"/>
    <cellStyle name="Обычный 3 2" xfId="27"/>
    <cellStyle name="Обычный 3 3" xfId="34"/>
    <cellStyle name="Обычный 3 3 2" xfId="129"/>
    <cellStyle name="Обычный 3 3 3" xfId="81"/>
    <cellStyle name="Обычный 4" xfId="4"/>
    <cellStyle name="Обычный 4 2" xfId="5"/>
    <cellStyle name="Обычный 4 3" xfId="18"/>
    <cellStyle name="Обычный 5" xfId="12"/>
    <cellStyle name="Обычный 5 10" xfId="577"/>
    <cellStyle name="Обычный 5 10 2" xfId="2191"/>
    <cellStyle name="Обычный 5 11" xfId="1119"/>
    <cellStyle name="Обычный 5 11 2" xfId="2733"/>
    <cellStyle name="Обычный 5 12" xfId="1655"/>
    <cellStyle name="Обычный 5 2" xfId="25"/>
    <cellStyle name="Обычный 5 2 10" xfId="1124"/>
    <cellStyle name="Обычный 5 2 10 2" xfId="2738"/>
    <cellStyle name="Обычный 5 2 11" xfId="1660"/>
    <cellStyle name="Обычный 5 2 2" xfId="48"/>
    <cellStyle name="Обычный 5 2 2 2" xfId="66"/>
    <cellStyle name="Обычный 5 2 2 2 2" xfId="161"/>
    <cellStyle name="Обычный 5 2 2 2 2 2" xfId="300"/>
    <cellStyle name="Обычный 5 2 2 2 2 2 2" xfId="568"/>
    <cellStyle name="Обычный 5 2 2 2 2 2 2 2" xfId="1111"/>
    <cellStyle name="Обычный 5 2 2 2 2 2 2 2 2" xfId="2725"/>
    <cellStyle name="Обычный 5 2 2 2 2 2 2 3" xfId="1647"/>
    <cellStyle name="Обычный 5 2 2 2 2 2 2 3 2" xfId="3261"/>
    <cellStyle name="Обычный 5 2 2 2 2 2 2 4" xfId="2183"/>
    <cellStyle name="Обычный 5 2 2 2 2 2 3" xfId="843"/>
    <cellStyle name="Обычный 5 2 2 2 2 2 3 2" xfId="2457"/>
    <cellStyle name="Обычный 5 2 2 2 2 2 4" xfId="1379"/>
    <cellStyle name="Обычный 5 2 2 2 2 2 4 2" xfId="2993"/>
    <cellStyle name="Обычный 5 2 2 2 2 2 5" xfId="1915"/>
    <cellStyle name="Обычный 5 2 2 2 2 3" xfId="436"/>
    <cellStyle name="Обычный 5 2 2 2 2 3 2" xfId="979"/>
    <cellStyle name="Обычный 5 2 2 2 2 3 2 2" xfId="2593"/>
    <cellStyle name="Обычный 5 2 2 2 2 3 3" xfId="1515"/>
    <cellStyle name="Обычный 5 2 2 2 2 3 3 2" xfId="3129"/>
    <cellStyle name="Обычный 5 2 2 2 2 3 4" xfId="2051"/>
    <cellStyle name="Обычный 5 2 2 2 2 4" xfId="711"/>
    <cellStyle name="Обычный 5 2 2 2 2 4 2" xfId="2325"/>
    <cellStyle name="Обычный 5 2 2 2 2 5" xfId="1247"/>
    <cellStyle name="Обычный 5 2 2 2 2 5 2" xfId="2861"/>
    <cellStyle name="Обычный 5 2 2 2 2 6" xfId="1783"/>
    <cellStyle name="Обычный 5 2 2 2 3" xfId="113"/>
    <cellStyle name="Обычный 5 2 2 2 3 2" xfId="255"/>
    <cellStyle name="Обычный 5 2 2 2 3 2 2" xfId="524"/>
    <cellStyle name="Обычный 5 2 2 2 3 2 2 2" xfId="1067"/>
    <cellStyle name="Обычный 5 2 2 2 3 2 2 2 2" xfId="2681"/>
    <cellStyle name="Обычный 5 2 2 2 3 2 2 3" xfId="1603"/>
    <cellStyle name="Обычный 5 2 2 2 3 2 2 3 2" xfId="3217"/>
    <cellStyle name="Обычный 5 2 2 2 3 2 2 4" xfId="2139"/>
    <cellStyle name="Обычный 5 2 2 2 3 2 3" xfId="799"/>
    <cellStyle name="Обычный 5 2 2 2 3 2 3 2" xfId="2413"/>
    <cellStyle name="Обычный 5 2 2 2 3 2 4" xfId="1335"/>
    <cellStyle name="Обычный 5 2 2 2 3 2 4 2" xfId="2949"/>
    <cellStyle name="Обычный 5 2 2 2 3 2 5" xfId="1871"/>
    <cellStyle name="Обычный 5 2 2 2 3 3" xfId="392"/>
    <cellStyle name="Обычный 5 2 2 2 3 3 2" xfId="935"/>
    <cellStyle name="Обычный 5 2 2 2 3 3 2 2" xfId="2549"/>
    <cellStyle name="Обычный 5 2 2 2 3 3 3" xfId="1471"/>
    <cellStyle name="Обычный 5 2 2 2 3 3 3 2" xfId="3085"/>
    <cellStyle name="Обычный 5 2 2 2 3 3 4" xfId="2007"/>
    <cellStyle name="Обычный 5 2 2 2 3 4" xfId="666"/>
    <cellStyle name="Обычный 5 2 2 2 3 4 2" xfId="2280"/>
    <cellStyle name="Обычный 5 2 2 2 3 5" xfId="1203"/>
    <cellStyle name="Обычный 5 2 2 2 3 5 2" xfId="2817"/>
    <cellStyle name="Обычный 5 2 2 2 3 6" xfId="1739"/>
    <cellStyle name="Обычный 5 2 2 2 4" xfId="210"/>
    <cellStyle name="Обычный 5 2 2 2 4 2" xfId="480"/>
    <cellStyle name="Обычный 5 2 2 2 4 2 2" xfId="1023"/>
    <cellStyle name="Обычный 5 2 2 2 4 2 2 2" xfId="2637"/>
    <cellStyle name="Обычный 5 2 2 2 4 2 3" xfId="1559"/>
    <cellStyle name="Обычный 5 2 2 2 4 2 3 2" xfId="3173"/>
    <cellStyle name="Обычный 5 2 2 2 4 2 4" xfId="2095"/>
    <cellStyle name="Обычный 5 2 2 2 4 3" xfId="755"/>
    <cellStyle name="Обычный 5 2 2 2 4 3 2" xfId="2369"/>
    <cellStyle name="Обычный 5 2 2 2 4 4" xfId="1291"/>
    <cellStyle name="Обычный 5 2 2 2 4 4 2" xfId="2905"/>
    <cellStyle name="Обычный 5 2 2 2 4 5" xfId="1827"/>
    <cellStyle name="Обычный 5 2 2 2 5" xfId="348"/>
    <cellStyle name="Обычный 5 2 2 2 5 2" xfId="891"/>
    <cellStyle name="Обычный 5 2 2 2 5 2 2" xfId="2505"/>
    <cellStyle name="Обычный 5 2 2 2 5 3" xfId="1427"/>
    <cellStyle name="Обычный 5 2 2 2 5 3 2" xfId="3041"/>
    <cellStyle name="Обычный 5 2 2 2 5 4" xfId="1963"/>
    <cellStyle name="Обычный 5 2 2 2 6" xfId="621"/>
    <cellStyle name="Обычный 5 2 2 2 6 2" xfId="2235"/>
    <cellStyle name="Обычный 5 2 2 2 7" xfId="1159"/>
    <cellStyle name="Обычный 5 2 2 2 7 2" xfId="2773"/>
    <cellStyle name="Обычный 5 2 2 2 8" xfId="1695"/>
    <cellStyle name="Обычный 5 2 2 3" xfId="143"/>
    <cellStyle name="Обычный 5 2 2 3 2" xfId="282"/>
    <cellStyle name="Обычный 5 2 2 3 2 2" xfId="550"/>
    <cellStyle name="Обычный 5 2 2 3 2 2 2" xfId="1093"/>
    <cellStyle name="Обычный 5 2 2 3 2 2 2 2" xfId="2707"/>
    <cellStyle name="Обычный 5 2 2 3 2 2 3" xfId="1629"/>
    <cellStyle name="Обычный 5 2 2 3 2 2 3 2" xfId="3243"/>
    <cellStyle name="Обычный 5 2 2 3 2 2 4" xfId="2165"/>
    <cellStyle name="Обычный 5 2 2 3 2 3" xfId="825"/>
    <cellStyle name="Обычный 5 2 2 3 2 3 2" xfId="2439"/>
    <cellStyle name="Обычный 5 2 2 3 2 4" xfId="1361"/>
    <cellStyle name="Обычный 5 2 2 3 2 4 2" xfId="2975"/>
    <cellStyle name="Обычный 5 2 2 3 2 5" xfId="1897"/>
    <cellStyle name="Обычный 5 2 2 3 3" xfId="418"/>
    <cellStyle name="Обычный 5 2 2 3 3 2" xfId="961"/>
    <cellStyle name="Обычный 5 2 2 3 3 2 2" xfId="2575"/>
    <cellStyle name="Обычный 5 2 2 3 3 3" xfId="1497"/>
    <cellStyle name="Обычный 5 2 2 3 3 3 2" xfId="3111"/>
    <cellStyle name="Обычный 5 2 2 3 3 4" xfId="2033"/>
    <cellStyle name="Обычный 5 2 2 3 4" xfId="693"/>
    <cellStyle name="Обычный 5 2 2 3 4 2" xfId="2307"/>
    <cellStyle name="Обычный 5 2 2 3 5" xfId="1229"/>
    <cellStyle name="Обычный 5 2 2 3 5 2" xfId="2843"/>
    <cellStyle name="Обычный 5 2 2 3 6" xfId="1765"/>
    <cellStyle name="Обычный 5 2 2 4" xfId="95"/>
    <cellStyle name="Обычный 5 2 2 4 2" xfId="237"/>
    <cellStyle name="Обычный 5 2 2 4 2 2" xfId="506"/>
    <cellStyle name="Обычный 5 2 2 4 2 2 2" xfId="1049"/>
    <cellStyle name="Обычный 5 2 2 4 2 2 2 2" xfId="2663"/>
    <cellStyle name="Обычный 5 2 2 4 2 2 3" xfId="1585"/>
    <cellStyle name="Обычный 5 2 2 4 2 2 3 2" xfId="3199"/>
    <cellStyle name="Обычный 5 2 2 4 2 2 4" xfId="2121"/>
    <cellStyle name="Обычный 5 2 2 4 2 3" xfId="781"/>
    <cellStyle name="Обычный 5 2 2 4 2 3 2" xfId="2395"/>
    <cellStyle name="Обычный 5 2 2 4 2 4" xfId="1317"/>
    <cellStyle name="Обычный 5 2 2 4 2 4 2" xfId="2931"/>
    <cellStyle name="Обычный 5 2 2 4 2 5" xfId="1853"/>
    <cellStyle name="Обычный 5 2 2 4 3" xfId="374"/>
    <cellStyle name="Обычный 5 2 2 4 3 2" xfId="917"/>
    <cellStyle name="Обычный 5 2 2 4 3 2 2" xfId="2531"/>
    <cellStyle name="Обычный 5 2 2 4 3 3" xfId="1453"/>
    <cellStyle name="Обычный 5 2 2 4 3 3 2" xfId="3067"/>
    <cellStyle name="Обычный 5 2 2 4 3 4" xfId="1989"/>
    <cellStyle name="Обычный 5 2 2 4 4" xfId="648"/>
    <cellStyle name="Обычный 5 2 2 4 4 2" xfId="2262"/>
    <cellStyle name="Обычный 5 2 2 4 5" xfId="1185"/>
    <cellStyle name="Обычный 5 2 2 4 5 2" xfId="2799"/>
    <cellStyle name="Обычный 5 2 2 4 6" xfId="1721"/>
    <cellStyle name="Обычный 5 2 2 5" xfId="192"/>
    <cellStyle name="Обычный 5 2 2 5 2" xfId="462"/>
    <cellStyle name="Обычный 5 2 2 5 2 2" xfId="1005"/>
    <cellStyle name="Обычный 5 2 2 5 2 2 2" xfId="2619"/>
    <cellStyle name="Обычный 5 2 2 5 2 3" xfId="1541"/>
    <cellStyle name="Обычный 5 2 2 5 2 3 2" xfId="3155"/>
    <cellStyle name="Обычный 5 2 2 5 2 4" xfId="2077"/>
    <cellStyle name="Обычный 5 2 2 5 3" xfId="737"/>
    <cellStyle name="Обычный 5 2 2 5 3 2" xfId="2351"/>
    <cellStyle name="Обычный 5 2 2 5 4" xfId="1273"/>
    <cellStyle name="Обычный 5 2 2 5 4 2" xfId="2887"/>
    <cellStyle name="Обычный 5 2 2 5 5" xfId="1809"/>
    <cellStyle name="Обычный 5 2 2 6" xfId="330"/>
    <cellStyle name="Обычный 5 2 2 6 2" xfId="873"/>
    <cellStyle name="Обычный 5 2 2 6 2 2" xfId="2487"/>
    <cellStyle name="Обычный 5 2 2 6 3" xfId="1409"/>
    <cellStyle name="Обычный 5 2 2 6 3 2" xfId="3023"/>
    <cellStyle name="Обычный 5 2 2 6 4" xfId="1945"/>
    <cellStyle name="Обычный 5 2 2 7" xfId="603"/>
    <cellStyle name="Обычный 5 2 2 7 2" xfId="2217"/>
    <cellStyle name="Обычный 5 2 2 8" xfId="1141"/>
    <cellStyle name="Обычный 5 2 2 8 2" xfId="2755"/>
    <cellStyle name="Обычный 5 2 2 9" xfId="1677"/>
    <cellStyle name="Обычный 5 2 3" xfId="39"/>
    <cellStyle name="Обычный 5 2 3 2" xfId="134"/>
    <cellStyle name="Обычный 5 2 3 2 2" xfId="273"/>
    <cellStyle name="Обычный 5 2 3 2 2 2" xfId="541"/>
    <cellStyle name="Обычный 5 2 3 2 2 2 2" xfId="1084"/>
    <cellStyle name="Обычный 5 2 3 2 2 2 2 2" xfId="2698"/>
    <cellStyle name="Обычный 5 2 3 2 2 2 3" xfId="1620"/>
    <cellStyle name="Обычный 5 2 3 2 2 2 3 2" xfId="3234"/>
    <cellStyle name="Обычный 5 2 3 2 2 2 4" xfId="2156"/>
    <cellStyle name="Обычный 5 2 3 2 2 3" xfId="816"/>
    <cellStyle name="Обычный 5 2 3 2 2 3 2" xfId="2430"/>
    <cellStyle name="Обычный 5 2 3 2 2 4" xfId="1352"/>
    <cellStyle name="Обычный 5 2 3 2 2 4 2" xfId="2966"/>
    <cellStyle name="Обычный 5 2 3 2 2 5" xfId="1888"/>
    <cellStyle name="Обычный 5 2 3 2 3" xfId="409"/>
    <cellStyle name="Обычный 5 2 3 2 3 2" xfId="952"/>
    <cellStyle name="Обычный 5 2 3 2 3 2 2" xfId="2566"/>
    <cellStyle name="Обычный 5 2 3 2 3 3" xfId="1488"/>
    <cellStyle name="Обычный 5 2 3 2 3 3 2" xfId="3102"/>
    <cellStyle name="Обычный 5 2 3 2 3 4" xfId="2024"/>
    <cellStyle name="Обычный 5 2 3 2 4" xfId="684"/>
    <cellStyle name="Обычный 5 2 3 2 4 2" xfId="2298"/>
    <cellStyle name="Обычный 5 2 3 2 5" xfId="1220"/>
    <cellStyle name="Обычный 5 2 3 2 5 2" xfId="2834"/>
    <cellStyle name="Обычный 5 2 3 2 6" xfId="1756"/>
    <cellStyle name="Обычный 5 2 3 3" xfId="86"/>
    <cellStyle name="Обычный 5 2 3 3 2" xfId="228"/>
    <cellStyle name="Обычный 5 2 3 3 2 2" xfId="497"/>
    <cellStyle name="Обычный 5 2 3 3 2 2 2" xfId="1040"/>
    <cellStyle name="Обычный 5 2 3 3 2 2 2 2" xfId="2654"/>
    <cellStyle name="Обычный 5 2 3 3 2 2 3" xfId="1576"/>
    <cellStyle name="Обычный 5 2 3 3 2 2 3 2" xfId="3190"/>
    <cellStyle name="Обычный 5 2 3 3 2 2 4" xfId="2112"/>
    <cellStyle name="Обычный 5 2 3 3 2 3" xfId="772"/>
    <cellStyle name="Обычный 5 2 3 3 2 3 2" xfId="2386"/>
    <cellStyle name="Обычный 5 2 3 3 2 4" xfId="1308"/>
    <cellStyle name="Обычный 5 2 3 3 2 4 2" xfId="2922"/>
    <cellStyle name="Обычный 5 2 3 3 2 5" xfId="1844"/>
    <cellStyle name="Обычный 5 2 3 3 3" xfId="365"/>
    <cellStyle name="Обычный 5 2 3 3 3 2" xfId="908"/>
    <cellStyle name="Обычный 5 2 3 3 3 2 2" xfId="2522"/>
    <cellStyle name="Обычный 5 2 3 3 3 3" xfId="1444"/>
    <cellStyle name="Обычный 5 2 3 3 3 3 2" xfId="3058"/>
    <cellStyle name="Обычный 5 2 3 3 3 4" xfId="1980"/>
    <cellStyle name="Обычный 5 2 3 3 4" xfId="639"/>
    <cellStyle name="Обычный 5 2 3 3 4 2" xfId="2253"/>
    <cellStyle name="Обычный 5 2 3 3 5" xfId="1176"/>
    <cellStyle name="Обычный 5 2 3 3 5 2" xfId="2790"/>
    <cellStyle name="Обычный 5 2 3 3 6" xfId="1712"/>
    <cellStyle name="Обычный 5 2 3 4" xfId="183"/>
    <cellStyle name="Обычный 5 2 3 4 2" xfId="453"/>
    <cellStyle name="Обычный 5 2 3 4 2 2" xfId="996"/>
    <cellStyle name="Обычный 5 2 3 4 2 2 2" xfId="2610"/>
    <cellStyle name="Обычный 5 2 3 4 2 3" xfId="1532"/>
    <cellStyle name="Обычный 5 2 3 4 2 3 2" xfId="3146"/>
    <cellStyle name="Обычный 5 2 3 4 2 4" xfId="2068"/>
    <cellStyle name="Обычный 5 2 3 4 3" xfId="728"/>
    <cellStyle name="Обычный 5 2 3 4 3 2" xfId="2342"/>
    <cellStyle name="Обычный 5 2 3 4 4" xfId="1264"/>
    <cellStyle name="Обычный 5 2 3 4 4 2" xfId="2878"/>
    <cellStyle name="Обычный 5 2 3 4 5" xfId="1800"/>
    <cellStyle name="Обычный 5 2 3 5" xfId="321"/>
    <cellStyle name="Обычный 5 2 3 5 2" xfId="864"/>
    <cellStyle name="Обычный 5 2 3 5 2 2" xfId="2478"/>
    <cellStyle name="Обычный 5 2 3 5 3" xfId="1400"/>
    <cellStyle name="Обычный 5 2 3 5 3 2" xfId="3014"/>
    <cellStyle name="Обычный 5 2 3 5 4" xfId="1936"/>
    <cellStyle name="Обычный 5 2 3 6" xfId="594"/>
    <cellStyle name="Обычный 5 2 3 6 2" xfId="2208"/>
    <cellStyle name="Обычный 5 2 3 7" xfId="1132"/>
    <cellStyle name="Обычный 5 2 3 7 2" xfId="2746"/>
    <cellStyle name="Обычный 5 2 3 8" xfId="1668"/>
    <cellStyle name="Обычный 5 2 4" xfId="56"/>
    <cellStyle name="Обычный 5 2 4 2" xfId="151"/>
    <cellStyle name="Обычный 5 2 4 2 2" xfId="290"/>
    <cellStyle name="Обычный 5 2 4 2 2 2" xfId="558"/>
    <cellStyle name="Обычный 5 2 4 2 2 2 2" xfId="1101"/>
    <cellStyle name="Обычный 5 2 4 2 2 2 2 2" xfId="2715"/>
    <cellStyle name="Обычный 5 2 4 2 2 2 3" xfId="1637"/>
    <cellStyle name="Обычный 5 2 4 2 2 2 3 2" xfId="3251"/>
    <cellStyle name="Обычный 5 2 4 2 2 2 4" xfId="2173"/>
    <cellStyle name="Обычный 5 2 4 2 2 3" xfId="833"/>
    <cellStyle name="Обычный 5 2 4 2 2 3 2" xfId="2447"/>
    <cellStyle name="Обычный 5 2 4 2 2 4" xfId="1369"/>
    <cellStyle name="Обычный 5 2 4 2 2 4 2" xfId="2983"/>
    <cellStyle name="Обычный 5 2 4 2 2 5" xfId="1905"/>
    <cellStyle name="Обычный 5 2 4 2 3" xfId="426"/>
    <cellStyle name="Обычный 5 2 4 2 3 2" xfId="969"/>
    <cellStyle name="Обычный 5 2 4 2 3 2 2" xfId="2583"/>
    <cellStyle name="Обычный 5 2 4 2 3 3" xfId="1505"/>
    <cellStyle name="Обычный 5 2 4 2 3 3 2" xfId="3119"/>
    <cellStyle name="Обычный 5 2 4 2 3 4" xfId="2041"/>
    <cellStyle name="Обычный 5 2 4 2 4" xfId="701"/>
    <cellStyle name="Обычный 5 2 4 2 4 2" xfId="2315"/>
    <cellStyle name="Обычный 5 2 4 2 5" xfId="1237"/>
    <cellStyle name="Обычный 5 2 4 2 5 2" xfId="2851"/>
    <cellStyle name="Обычный 5 2 4 2 6" xfId="1773"/>
    <cellStyle name="Обычный 5 2 4 3" xfId="103"/>
    <cellStyle name="Обычный 5 2 4 3 2" xfId="245"/>
    <cellStyle name="Обычный 5 2 4 3 2 2" xfId="514"/>
    <cellStyle name="Обычный 5 2 4 3 2 2 2" xfId="1057"/>
    <cellStyle name="Обычный 5 2 4 3 2 2 2 2" xfId="2671"/>
    <cellStyle name="Обычный 5 2 4 3 2 2 3" xfId="1593"/>
    <cellStyle name="Обычный 5 2 4 3 2 2 3 2" xfId="3207"/>
    <cellStyle name="Обычный 5 2 4 3 2 2 4" xfId="2129"/>
    <cellStyle name="Обычный 5 2 4 3 2 3" xfId="789"/>
    <cellStyle name="Обычный 5 2 4 3 2 3 2" xfId="2403"/>
    <cellStyle name="Обычный 5 2 4 3 2 4" xfId="1325"/>
    <cellStyle name="Обычный 5 2 4 3 2 4 2" xfId="2939"/>
    <cellStyle name="Обычный 5 2 4 3 2 5" xfId="1861"/>
    <cellStyle name="Обычный 5 2 4 3 3" xfId="382"/>
    <cellStyle name="Обычный 5 2 4 3 3 2" xfId="925"/>
    <cellStyle name="Обычный 5 2 4 3 3 2 2" xfId="2539"/>
    <cellStyle name="Обычный 5 2 4 3 3 3" xfId="1461"/>
    <cellStyle name="Обычный 5 2 4 3 3 3 2" xfId="3075"/>
    <cellStyle name="Обычный 5 2 4 3 3 4" xfId="1997"/>
    <cellStyle name="Обычный 5 2 4 3 4" xfId="656"/>
    <cellStyle name="Обычный 5 2 4 3 4 2" xfId="2270"/>
    <cellStyle name="Обычный 5 2 4 3 5" xfId="1193"/>
    <cellStyle name="Обычный 5 2 4 3 5 2" xfId="2807"/>
    <cellStyle name="Обычный 5 2 4 3 6" xfId="1729"/>
    <cellStyle name="Обычный 5 2 4 4" xfId="200"/>
    <cellStyle name="Обычный 5 2 4 4 2" xfId="470"/>
    <cellStyle name="Обычный 5 2 4 4 2 2" xfId="1013"/>
    <cellStyle name="Обычный 5 2 4 4 2 2 2" xfId="2627"/>
    <cellStyle name="Обычный 5 2 4 4 2 3" xfId="1549"/>
    <cellStyle name="Обычный 5 2 4 4 2 3 2" xfId="3163"/>
    <cellStyle name="Обычный 5 2 4 4 2 4" xfId="2085"/>
    <cellStyle name="Обычный 5 2 4 4 3" xfId="745"/>
    <cellStyle name="Обычный 5 2 4 4 3 2" xfId="2359"/>
    <cellStyle name="Обычный 5 2 4 4 4" xfId="1281"/>
    <cellStyle name="Обычный 5 2 4 4 4 2" xfId="2895"/>
    <cellStyle name="Обычный 5 2 4 4 5" xfId="1817"/>
    <cellStyle name="Обычный 5 2 4 5" xfId="338"/>
    <cellStyle name="Обычный 5 2 4 5 2" xfId="881"/>
    <cellStyle name="Обычный 5 2 4 5 2 2" xfId="2495"/>
    <cellStyle name="Обычный 5 2 4 5 3" xfId="1417"/>
    <cellStyle name="Обычный 5 2 4 5 3 2" xfId="3031"/>
    <cellStyle name="Обычный 5 2 4 5 4" xfId="1953"/>
    <cellStyle name="Обычный 5 2 4 6" xfId="611"/>
    <cellStyle name="Обычный 5 2 4 6 2" xfId="2225"/>
    <cellStyle name="Обычный 5 2 4 7" xfId="1149"/>
    <cellStyle name="Обычный 5 2 4 7 2" xfId="2763"/>
    <cellStyle name="Обычный 5 2 4 8" xfId="1685"/>
    <cellStyle name="Обычный 5 2 5" xfId="123"/>
    <cellStyle name="Обычный 5 2 5 2" xfId="264"/>
    <cellStyle name="Обычный 5 2 5 2 2" xfId="533"/>
    <cellStyle name="Обычный 5 2 5 2 2 2" xfId="1076"/>
    <cellStyle name="Обычный 5 2 5 2 2 2 2" xfId="2690"/>
    <cellStyle name="Обычный 5 2 5 2 2 3" xfId="1612"/>
    <cellStyle name="Обычный 5 2 5 2 2 3 2" xfId="3226"/>
    <cellStyle name="Обычный 5 2 5 2 2 4" xfId="2148"/>
    <cellStyle name="Обычный 5 2 5 2 3" xfId="808"/>
    <cellStyle name="Обычный 5 2 5 2 3 2" xfId="2422"/>
    <cellStyle name="Обычный 5 2 5 2 4" xfId="1344"/>
    <cellStyle name="Обычный 5 2 5 2 4 2" xfId="2958"/>
    <cellStyle name="Обычный 5 2 5 2 5" xfId="1880"/>
    <cellStyle name="Обычный 5 2 5 3" xfId="401"/>
    <cellStyle name="Обычный 5 2 5 3 2" xfId="944"/>
    <cellStyle name="Обычный 5 2 5 3 2 2" xfId="2558"/>
    <cellStyle name="Обычный 5 2 5 3 3" xfId="1480"/>
    <cellStyle name="Обычный 5 2 5 3 3 2" xfId="3094"/>
    <cellStyle name="Обычный 5 2 5 3 4" xfId="2016"/>
    <cellStyle name="Обычный 5 2 5 4" xfId="675"/>
    <cellStyle name="Обычный 5 2 5 4 2" xfId="2289"/>
    <cellStyle name="Обычный 5 2 5 5" xfId="1212"/>
    <cellStyle name="Обычный 5 2 5 5 2" xfId="2826"/>
    <cellStyle name="Обычный 5 2 5 6" xfId="1748"/>
    <cellStyle name="Обычный 5 2 6" xfId="75"/>
    <cellStyle name="Обычный 5 2 6 2" xfId="219"/>
    <cellStyle name="Обычный 5 2 6 2 2" xfId="489"/>
    <cellStyle name="Обычный 5 2 6 2 2 2" xfId="1032"/>
    <cellStyle name="Обычный 5 2 6 2 2 2 2" xfId="2646"/>
    <cellStyle name="Обычный 5 2 6 2 2 3" xfId="1568"/>
    <cellStyle name="Обычный 5 2 6 2 2 3 2" xfId="3182"/>
    <cellStyle name="Обычный 5 2 6 2 2 4" xfId="2104"/>
    <cellStyle name="Обычный 5 2 6 2 3" xfId="764"/>
    <cellStyle name="Обычный 5 2 6 2 3 2" xfId="2378"/>
    <cellStyle name="Обычный 5 2 6 2 4" xfId="1300"/>
    <cellStyle name="Обычный 5 2 6 2 4 2" xfId="2914"/>
    <cellStyle name="Обычный 5 2 6 2 5" xfId="1836"/>
    <cellStyle name="Обычный 5 2 6 3" xfId="357"/>
    <cellStyle name="Обычный 5 2 6 3 2" xfId="900"/>
    <cellStyle name="Обычный 5 2 6 3 2 2" xfId="2514"/>
    <cellStyle name="Обычный 5 2 6 3 3" xfId="1436"/>
    <cellStyle name="Обычный 5 2 6 3 3 2" xfId="3050"/>
    <cellStyle name="Обычный 5 2 6 3 4" xfId="1972"/>
    <cellStyle name="Обычный 5 2 6 4" xfId="630"/>
    <cellStyle name="Обычный 5 2 6 4 2" xfId="2244"/>
    <cellStyle name="Обычный 5 2 6 5" xfId="1168"/>
    <cellStyle name="Обычный 5 2 6 5 2" xfId="2782"/>
    <cellStyle name="Обычный 5 2 6 6" xfId="1704"/>
    <cellStyle name="Обычный 5 2 7" xfId="173"/>
    <cellStyle name="Обычный 5 2 7 2" xfId="445"/>
    <cellStyle name="Обычный 5 2 7 2 2" xfId="988"/>
    <cellStyle name="Обычный 5 2 7 2 2 2" xfId="2602"/>
    <cellStyle name="Обычный 5 2 7 2 3" xfId="1524"/>
    <cellStyle name="Обычный 5 2 7 2 3 2" xfId="3138"/>
    <cellStyle name="Обычный 5 2 7 2 4" xfId="2060"/>
    <cellStyle name="Обычный 5 2 7 3" xfId="720"/>
    <cellStyle name="Обычный 5 2 7 3 2" xfId="2334"/>
    <cellStyle name="Обычный 5 2 7 4" xfId="1256"/>
    <cellStyle name="Обычный 5 2 7 4 2" xfId="2870"/>
    <cellStyle name="Обычный 5 2 7 5" xfId="1792"/>
    <cellStyle name="Обычный 5 2 8" xfId="313"/>
    <cellStyle name="Обычный 5 2 8 2" xfId="856"/>
    <cellStyle name="Обычный 5 2 8 2 2" xfId="2470"/>
    <cellStyle name="Обычный 5 2 8 3" xfId="1392"/>
    <cellStyle name="Обычный 5 2 8 3 2" xfId="3006"/>
    <cellStyle name="Обычный 5 2 8 4" xfId="1928"/>
    <cellStyle name="Обычный 5 2 9" xfId="584"/>
    <cellStyle name="Обычный 5 2 9 2" xfId="2198"/>
    <cellStyle name="Обычный 5 3" xfId="43"/>
    <cellStyle name="Обычный 5 3 2" xfId="61"/>
    <cellStyle name="Обычный 5 3 2 2" xfId="156"/>
    <cellStyle name="Обычный 5 3 2 2 2" xfId="295"/>
    <cellStyle name="Обычный 5 3 2 2 2 2" xfId="563"/>
    <cellStyle name="Обычный 5 3 2 2 2 2 2" xfId="1106"/>
    <cellStyle name="Обычный 5 3 2 2 2 2 2 2" xfId="2720"/>
    <cellStyle name="Обычный 5 3 2 2 2 2 3" xfId="1642"/>
    <cellStyle name="Обычный 5 3 2 2 2 2 3 2" xfId="3256"/>
    <cellStyle name="Обычный 5 3 2 2 2 2 4" xfId="2178"/>
    <cellStyle name="Обычный 5 3 2 2 2 3" xfId="838"/>
    <cellStyle name="Обычный 5 3 2 2 2 3 2" xfId="2452"/>
    <cellStyle name="Обычный 5 3 2 2 2 4" xfId="1374"/>
    <cellStyle name="Обычный 5 3 2 2 2 4 2" xfId="2988"/>
    <cellStyle name="Обычный 5 3 2 2 2 5" xfId="1910"/>
    <cellStyle name="Обычный 5 3 2 2 3" xfId="431"/>
    <cellStyle name="Обычный 5 3 2 2 3 2" xfId="974"/>
    <cellStyle name="Обычный 5 3 2 2 3 2 2" xfId="2588"/>
    <cellStyle name="Обычный 5 3 2 2 3 3" xfId="1510"/>
    <cellStyle name="Обычный 5 3 2 2 3 3 2" xfId="3124"/>
    <cellStyle name="Обычный 5 3 2 2 3 4" xfId="2046"/>
    <cellStyle name="Обычный 5 3 2 2 4" xfId="706"/>
    <cellStyle name="Обычный 5 3 2 2 4 2" xfId="2320"/>
    <cellStyle name="Обычный 5 3 2 2 5" xfId="1242"/>
    <cellStyle name="Обычный 5 3 2 2 5 2" xfId="2856"/>
    <cellStyle name="Обычный 5 3 2 2 6" xfId="1778"/>
    <cellStyle name="Обычный 5 3 2 3" xfId="108"/>
    <cellStyle name="Обычный 5 3 2 3 2" xfId="250"/>
    <cellStyle name="Обычный 5 3 2 3 2 2" xfId="519"/>
    <cellStyle name="Обычный 5 3 2 3 2 2 2" xfId="1062"/>
    <cellStyle name="Обычный 5 3 2 3 2 2 2 2" xfId="2676"/>
    <cellStyle name="Обычный 5 3 2 3 2 2 3" xfId="1598"/>
    <cellStyle name="Обычный 5 3 2 3 2 2 3 2" xfId="3212"/>
    <cellStyle name="Обычный 5 3 2 3 2 2 4" xfId="2134"/>
    <cellStyle name="Обычный 5 3 2 3 2 3" xfId="794"/>
    <cellStyle name="Обычный 5 3 2 3 2 3 2" xfId="2408"/>
    <cellStyle name="Обычный 5 3 2 3 2 4" xfId="1330"/>
    <cellStyle name="Обычный 5 3 2 3 2 4 2" xfId="2944"/>
    <cellStyle name="Обычный 5 3 2 3 2 5" xfId="1866"/>
    <cellStyle name="Обычный 5 3 2 3 3" xfId="387"/>
    <cellStyle name="Обычный 5 3 2 3 3 2" xfId="930"/>
    <cellStyle name="Обычный 5 3 2 3 3 2 2" xfId="2544"/>
    <cellStyle name="Обычный 5 3 2 3 3 3" xfId="1466"/>
    <cellStyle name="Обычный 5 3 2 3 3 3 2" xfId="3080"/>
    <cellStyle name="Обычный 5 3 2 3 3 4" xfId="2002"/>
    <cellStyle name="Обычный 5 3 2 3 4" xfId="661"/>
    <cellStyle name="Обычный 5 3 2 3 4 2" xfId="2275"/>
    <cellStyle name="Обычный 5 3 2 3 5" xfId="1198"/>
    <cellStyle name="Обычный 5 3 2 3 5 2" xfId="2812"/>
    <cellStyle name="Обычный 5 3 2 3 6" xfId="1734"/>
    <cellStyle name="Обычный 5 3 2 4" xfId="205"/>
    <cellStyle name="Обычный 5 3 2 4 2" xfId="475"/>
    <cellStyle name="Обычный 5 3 2 4 2 2" xfId="1018"/>
    <cellStyle name="Обычный 5 3 2 4 2 2 2" xfId="2632"/>
    <cellStyle name="Обычный 5 3 2 4 2 3" xfId="1554"/>
    <cellStyle name="Обычный 5 3 2 4 2 3 2" xfId="3168"/>
    <cellStyle name="Обычный 5 3 2 4 2 4" xfId="2090"/>
    <cellStyle name="Обычный 5 3 2 4 3" xfId="750"/>
    <cellStyle name="Обычный 5 3 2 4 3 2" xfId="2364"/>
    <cellStyle name="Обычный 5 3 2 4 4" xfId="1286"/>
    <cellStyle name="Обычный 5 3 2 4 4 2" xfId="2900"/>
    <cellStyle name="Обычный 5 3 2 4 5" xfId="1822"/>
    <cellStyle name="Обычный 5 3 2 5" xfId="343"/>
    <cellStyle name="Обычный 5 3 2 5 2" xfId="886"/>
    <cellStyle name="Обычный 5 3 2 5 2 2" xfId="2500"/>
    <cellStyle name="Обычный 5 3 2 5 3" xfId="1422"/>
    <cellStyle name="Обычный 5 3 2 5 3 2" xfId="3036"/>
    <cellStyle name="Обычный 5 3 2 5 4" xfId="1958"/>
    <cellStyle name="Обычный 5 3 2 6" xfId="616"/>
    <cellStyle name="Обычный 5 3 2 6 2" xfId="2230"/>
    <cellStyle name="Обычный 5 3 2 7" xfId="1154"/>
    <cellStyle name="Обычный 5 3 2 7 2" xfId="2768"/>
    <cellStyle name="Обычный 5 3 2 8" xfId="1690"/>
    <cellStyle name="Обычный 5 3 3" xfId="138"/>
    <cellStyle name="Обычный 5 3 3 2" xfId="277"/>
    <cellStyle name="Обычный 5 3 3 2 2" xfId="545"/>
    <cellStyle name="Обычный 5 3 3 2 2 2" xfId="1088"/>
    <cellStyle name="Обычный 5 3 3 2 2 2 2" xfId="2702"/>
    <cellStyle name="Обычный 5 3 3 2 2 3" xfId="1624"/>
    <cellStyle name="Обычный 5 3 3 2 2 3 2" xfId="3238"/>
    <cellStyle name="Обычный 5 3 3 2 2 4" xfId="2160"/>
    <cellStyle name="Обычный 5 3 3 2 3" xfId="820"/>
    <cellStyle name="Обычный 5 3 3 2 3 2" xfId="2434"/>
    <cellStyle name="Обычный 5 3 3 2 4" xfId="1356"/>
    <cellStyle name="Обычный 5 3 3 2 4 2" xfId="2970"/>
    <cellStyle name="Обычный 5 3 3 2 5" xfId="1892"/>
    <cellStyle name="Обычный 5 3 3 3" xfId="413"/>
    <cellStyle name="Обычный 5 3 3 3 2" xfId="956"/>
    <cellStyle name="Обычный 5 3 3 3 2 2" xfId="2570"/>
    <cellStyle name="Обычный 5 3 3 3 3" xfId="1492"/>
    <cellStyle name="Обычный 5 3 3 3 3 2" xfId="3106"/>
    <cellStyle name="Обычный 5 3 3 3 4" xfId="2028"/>
    <cellStyle name="Обычный 5 3 3 4" xfId="688"/>
    <cellStyle name="Обычный 5 3 3 4 2" xfId="2302"/>
    <cellStyle name="Обычный 5 3 3 5" xfId="1224"/>
    <cellStyle name="Обычный 5 3 3 5 2" xfId="2838"/>
    <cellStyle name="Обычный 5 3 3 6" xfId="1760"/>
    <cellStyle name="Обычный 5 3 4" xfId="90"/>
    <cellStyle name="Обычный 5 3 4 2" xfId="232"/>
    <cellStyle name="Обычный 5 3 4 2 2" xfId="501"/>
    <cellStyle name="Обычный 5 3 4 2 2 2" xfId="1044"/>
    <cellStyle name="Обычный 5 3 4 2 2 2 2" xfId="2658"/>
    <cellStyle name="Обычный 5 3 4 2 2 3" xfId="1580"/>
    <cellStyle name="Обычный 5 3 4 2 2 3 2" xfId="3194"/>
    <cellStyle name="Обычный 5 3 4 2 2 4" xfId="2116"/>
    <cellStyle name="Обычный 5 3 4 2 3" xfId="776"/>
    <cellStyle name="Обычный 5 3 4 2 3 2" xfId="2390"/>
    <cellStyle name="Обычный 5 3 4 2 4" xfId="1312"/>
    <cellStyle name="Обычный 5 3 4 2 4 2" xfId="2926"/>
    <cellStyle name="Обычный 5 3 4 2 5" xfId="1848"/>
    <cellStyle name="Обычный 5 3 4 3" xfId="369"/>
    <cellStyle name="Обычный 5 3 4 3 2" xfId="912"/>
    <cellStyle name="Обычный 5 3 4 3 2 2" xfId="2526"/>
    <cellStyle name="Обычный 5 3 4 3 3" xfId="1448"/>
    <cellStyle name="Обычный 5 3 4 3 3 2" xfId="3062"/>
    <cellStyle name="Обычный 5 3 4 3 4" xfId="1984"/>
    <cellStyle name="Обычный 5 3 4 4" xfId="643"/>
    <cellStyle name="Обычный 5 3 4 4 2" xfId="2257"/>
    <cellStyle name="Обычный 5 3 4 5" xfId="1180"/>
    <cellStyle name="Обычный 5 3 4 5 2" xfId="2794"/>
    <cellStyle name="Обычный 5 3 4 6" xfId="1716"/>
    <cellStyle name="Обычный 5 3 5" xfId="187"/>
    <cellStyle name="Обычный 5 3 5 2" xfId="457"/>
    <cellStyle name="Обычный 5 3 5 2 2" xfId="1000"/>
    <cellStyle name="Обычный 5 3 5 2 2 2" xfId="2614"/>
    <cellStyle name="Обычный 5 3 5 2 3" xfId="1536"/>
    <cellStyle name="Обычный 5 3 5 2 3 2" xfId="3150"/>
    <cellStyle name="Обычный 5 3 5 2 4" xfId="2072"/>
    <cellStyle name="Обычный 5 3 5 3" xfId="732"/>
    <cellStyle name="Обычный 5 3 5 3 2" xfId="2346"/>
    <cellStyle name="Обычный 5 3 5 4" xfId="1268"/>
    <cellStyle name="Обычный 5 3 5 4 2" xfId="2882"/>
    <cellStyle name="Обычный 5 3 5 5" xfId="1804"/>
    <cellStyle name="Обычный 5 3 6" xfId="325"/>
    <cellStyle name="Обычный 5 3 6 2" xfId="868"/>
    <cellStyle name="Обычный 5 3 6 2 2" xfId="2482"/>
    <cellStyle name="Обычный 5 3 6 3" xfId="1404"/>
    <cellStyle name="Обычный 5 3 6 3 2" xfId="3018"/>
    <cellStyle name="Обычный 5 3 6 4" xfId="1940"/>
    <cellStyle name="Обычный 5 3 7" xfId="598"/>
    <cellStyle name="Обычный 5 3 7 2" xfId="2212"/>
    <cellStyle name="Обычный 5 3 8" xfId="1136"/>
    <cellStyle name="Обычный 5 3 8 2" xfId="2750"/>
    <cellStyle name="Обычный 5 3 9" xfId="1672"/>
    <cellStyle name="Обычный 5 4" xfId="32"/>
    <cellStyle name="Обычный 5 4 2" xfId="127"/>
    <cellStyle name="Обычный 5 4 2 2" xfId="268"/>
    <cellStyle name="Обычный 5 4 2 2 2" xfId="537"/>
    <cellStyle name="Обычный 5 4 2 2 2 2" xfId="1080"/>
    <cellStyle name="Обычный 5 4 2 2 2 2 2" xfId="2694"/>
    <cellStyle name="Обычный 5 4 2 2 2 3" xfId="1616"/>
    <cellStyle name="Обычный 5 4 2 2 2 3 2" xfId="3230"/>
    <cellStyle name="Обычный 5 4 2 2 2 4" xfId="2152"/>
    <cellStyle name="Обычный 5 4 2 2 3" xfId="812"/>
    <cellStyle name="Обычный 5 4 2 2 3 2" xfId="2426"/>
    <cellStyle name="Обычный 5 4 2 2 4" xfId="1348"/>
    <cellStyle name="Обычный 5 4 2 2 4 2" xfId="2962"/>
    <cellStyle name="Обычный 5 4 2 2 5" xfId="1884"/>
    <cellStyle name="Обычный 5 4 2 3" xfId="405"/>
    <cellStyle name="Обычный 5 4 2 3 2" xfId="948"/>
    <cellStyle name="Обычный 5 4 2 3 2 2" xfId="2562"/>
    <cellStyle name="Обычный 5 4 2 3 3" xfId="1484"/>
    <cellStyle name="Обычный 5 4 2 3 3 2" xfId="3098"/>
    <cellStyle name="Обычный 5 4 2 3 4" xfId="2020"/>
    <cellStyle name="Обычный 5 4 2 4" xfId="679"/>
    <cellStyle name="Обычный 5 4 2 4 2" xfId="2293"/>
    <cellStyle name="Обычный 5 4 2 5" xfId="1216"/>
    <cellStyle name="Обычный 5 4 2 5 2" xfId="2830"/>
    <cellStyle name="Обычный 5 4 2 6" xfId="1752"/>
    <cellStyle name="Обычный 5 4 3" xfId="79"/>
    <cellStyle name="Обычный 5 4 3 2" xfId="223"/>
    <cellStyle name="Обычный 5 4 3 2 2" xfId="493"/>
    <cellStyle name="Обычный 5 4 3 2 2 2" xfId="1036"/>
    <cellStyle name="Обычный 5 4 3 2 2 2 2" xfId="2650"/>
    <cellStyle name="Обычный 5 4 3 2 2 3" xfId="1572"/>
    <cellStyle name="Обычный 5 4 3 2 2 3 2" xfId="3186"/>
    <cellStyle name="Обычный 5 4 3 2 2 4" xfId="2108"/>
    <cellStyle name="Обычный 5 4 3 2 3" xfId="768"/>
    <cellStyle name="Обычный 5 4 3 2 3 2" xfId="2382"/>
    <cellStyle name="Обычный 5 4 3 2 4" xfId="1304"/>
    <cellStyle name="Обычный 5 4 3 2 4 2" xfId="2918"/>
    <cellStyle name="Обычный 5 4 3 2 5" xfId="1840"/>
    <cellStyle name="Обычный 5 4 3 3" xfId="361"/>
    <cellStyle name="Обычный 5 4 3 3 2" xfId="904"/>
    <cellStyle name="Обычный 5 4 3 3 2 2" xfId="2518"/>
    <cellStyle name="Обычный 5 4 3 3 3" xfId="1440"/>
    <cellStyle name="Обычный 5 4 3 3 3 2" xfId="3054"/>
    <cellStyle name="Обычный 5 4 3 3 4" xfId="1976"/>
    <cellStyle name="Обычный 5 4 3 4" xfId="634"/>
    <cellStyle name="Обычный 5 4 3 4 2" xfId="2248"/>
    <cellStyle name="Обычный 5 4 3 5" xfId="1172"/>
    <cellStyle name="Обычный 5 4 3 5 2" xfId="2786"/>
    <cellStyle name="Обычный 5 4 3 6" xfId="1708"/>
    <cellStyle name="Обычный 5 4 4" xfId="178"/>
    <cellStyle name="Обычный 5 4 4 2" xfId="449"/>
    <cellStyle name="Обычный 5 4 4 2 2" xfId="992"/>
    <cellStyle name="Обычный 5 4 4 2 2 2" xfId="2606"/>
    <cellStyle name="Обычный 5 4 4 2 3" xfId="1528"/>
    <cellStyle name="Обычный 5 4 4 2 3 2" xfId="3142"/>
    <cellStyle name="Обычный 5 4 4 2 4" xfId="2064"/>
    <cellStyle name="Обычный 5 4 4 3" xfId="724"/>
    <cellStyle name="Обычный 5 4 4 3 2" xfId="2338"/>
    <cellStyle name="Обычный 5 4 4 4" xfId="1260"/>
    <cellStyle name="Обычный 5 4 4 4 2" xfId="2874"/>
    <cellStyle name="Обычный 5 4 4 5" xfId="1796"/>
    <cellStyle name="Обычный 5 4 5" xfId="317"/>
    <cellStyle name="Обычный 5 4 5 2" xfId="860"/>
    <cellStyle name="Обычный 5 4 5 2 2" xfId="2474"/>
    <cellStyle name="Обычный 5 4 5 3" xfId="1396"/>
    <cellStyle name="Обычный 5 4 5 3 2" xfId="3010"/>
    <cellStyle name="Обычный 5 4 5 4" xfId="1932"/>
    <cellStyle name="Обычный 5 4 6" xfId="589"/>
    <cellStyle name="Обычный 5 4 6 2" xfId="2203"/>
    <cellStyle name="Обычный 5 4 7" xfId="1128"/>
    <cellStyle name="Обычный 5 4 7 2" xfId="2742"/>
    <cellStyle name="Обычный 5 4 8" xfId="1664"/>
    <cellStyle name="Обычный 5 5" xfId="52"/>
    <cellStyle name="Обычный 5 5 2" xfId="147"/>
    <cellStyle name="Обычный 5 5 2 2" xfId="286"/>
    <cellStyle name="Обычный 5 5 2 2 2" xfId="554"/>
    <cellStyle name="Обычный 5 5 2 2 2 2" xfId="1097"/>
    <cellStyle name="Обычный 5 5 2 2 2 2 2" xfId="2711"/>
    <cellStyle name="Обычный 5 5 2 2 2 3" xfId="1633"/>
    <cellStyle name="Обычный 5 5 2 2 2 3 2" xfId="3247"/>
    <cellStyle name="Обычный 5 5 2 2 2 4" xfId="2169"/>
    <cellStyle name="Обычный 5 5 2 2 3" xfId="829"/>
    <cellStyle name="Обычный 5 5 2 2 3 2" xfId="2443"/>
    <cellStyle name="Обычный 5 5 2 2 4" xfId="1365"/>
    <cellStyle name="Обычный 5 5 2 2 4 2" xfId="2979"/>
    <cellStyle name="Обычный 5 5 2 2 5" xfId="1901"/>
    <cellStyle name="Обычный 5 5 2 3" xfId="422"/>
    <cellStyle name="Обычный 5 5 2 3 2" xfId="965"/>
    <cellStyle name="Обычный 5 5 2 3 2 2" xfId="2579"/>
    <cellStyle name="Обычный 5 5 2 3 3" xfId="1501"/>
    <cellStyle name="Обычный 5 5 2 3 3 2" xfId="3115"/>
    <cellStyle name="Обычный 5 5 2 3 4" xfId="2037"/>
    <cellStyle name="Обычный 5 5 2 4" xfId="697"/>
    <cellStyle name="Обычный 5 5 2 4 2" xfId="2311"/>
    <cellStyle name="Обычный 5 5 2 5" xfId="1233"/>
    <cellStyle name="Обычный 5 5 2 5 2" xfId="2847"/>
    <cellStyle name="Обычный 5 5 2 6" xfId="1769"/>
    <cellStyle name="Обычный 5 5 3" xfId="99"/>
    <cellStyle name="Обычный 5 5 3 2" xfId="241"/>
    <cellStyle name="Обычный 5 5 3 2 2" xfId="510"/>
    <cellStyle name="Обычный 5 5 3 2 2 2" xfId="1053"/>
    <cellStyle name="Обычный 5 5 3 2 2 2 2" xfId="2667"/>
    <cellStyle name="Обычный 5 5 3 2 2 3" xfId="1589"/>
    <cellStyle name="Обычный 5 5 3 2 2 3 2" xfId="3203"/>
    <cellStyle name="Обычный 5 5 3 2 2 4" xfId="2125"/>
    <cellStyle name="Обычный 5 5 3 2 3" xfId="785"/>
    <cellStyle name="Обычный 5 5 3 2 3 2" xfId="2399"/>
    <cellStyle name="Обычный 5 5 3 2 4" xfId="1321"/>
    <cellStyle name="Обычный 5 5 3 2 4 2" xfId="2935"/>
    <cellStyle name="Обычный 5 5 3 2 5" xfId="1857"/>
    <cellStyle name="Обычный 5 5 3 3" xfId="378"/>
    <cellStyle name="Обычный 5 5 3 3 2" xfId="921"/>
    <cellStyle name="Обычный 5 5 3 3 2 2" xfId="2535"/>
    <cellStyle name="Обычный 5 5 3 3 3" xfId="1457"/>
    <cellStyle name="Обычный 5 5 3 3 3 2" xfId="3071"/>
    <cellStyle name="Обычный 5 5 3 3 4" xfId="1993"/>
    <cellStyle name="Обычный 5 5 3 4" xfId="652"/>
    <cellStyle name="Обычный 5 5 3 4 2" xfId="2266"/>
    <cellStyle name="Обычный 5 5 3 5" xfId="1189"/>
    <cellStyle name="Обычный 5 5 3 5 2" xfId="2803"/>
    <cellStyle name="Обычный 5 5 3 6" xfId="1725"/>
    <cellStyle name="Обычный 5 5 4" xfId="196"/>
    <cellStyle name="Обычный 5 5 4 2" xfId="466"/>
    <cellStyle name="Обычный 5 5 4 2 2" xfId="1009"/>
    <cellStyle name="Обычный 5 5 4 2 2 2" xfId="2623"/>
    <cellStyle name="Обычный 5 5 4 2 3" xfId="1545"/>
    <cellStyle name="Обычный 5 5 4 2 3 2" xfId="3159"/>
    <cellStyle name="Обычный 5 5 4 2 4" xfId="2081"/>
    <cellStyle name="Обычный 5 5 4 3" xfId="741"/>
    <cellStyle name="Обычный 5 5 4 3 2" xfId="2355"/>
    <cellStyle name="Обычный 5 5 4 4" xfId="1277"/>
    <cellStyle name="Обычный 5 5 4 4 2" xfId="2891"/>
    <cellStyle name="Обычный 5 5 4 5" xfId="1813"/>
    <cellStyle name="Обычный 5 5 5" xfId="334"/>
    <cellStyle name="Обычный 5 5 5 2" xfId="877"/>
    <cellStyle name="Обычный 5 5 5 2 2" xfId="2491"/>
    <cellStyle name="Обычный 5 5 5 3" xfId="1413"/>
    <cellStyle name="Обычный 5 5 5 3 2" xfId="3027"/>
    <cellStyle name="Обычный 5 5 5 4" xfId="1949"/>
    <cellStyle name="Обычный 5 5 6" xfId="607"/>
    <cellStyle name="Обычный 5 5 6 2" xfId="2221"/>
    <cellStyle name="Обычный 5 5 7" xfId="1145"/>
    <cellStyle name="Обычный 5 5 7 2" xfId="2759"/>
    <cellStyle name="Обычный 5 5 8" xfId="1681"/>
    <cellStyle name="Обычный 5 6" xfId="118"/>
    <cellStyle name="Обычный 5 6 2" xfId="259"/>
    <cellStyle name="Обычный 5 6 2 2" xfId="528"/>
    <cellStyle name="Обычный 5 6 2 2 2" xfId="1071"/>
    <cellStyle name="Обычный 5 6 2 2 2 2" xfId="2685"/>
    <cellStyle name="Обычный 5 6 2 2 3" xfId="1607"/>
    <cellStyle name="Обычный 5 6 2 2 3 2" xfId="3221"/>
    <cellStyle name="Обычный 5 6 2 2 4" xfId="2143"/>
    <cellStyle name="Обычный 5 6 2 3" xfId="803"/>
    <cellStyle name="Обычный 5 6 2 3 2" xfId="2417"/>
    <cellStyle name="Обычный 5 6 2 4" xfId="1339"/>
    <cellStyle name="Обычный 5 6 2 4 2" xfId="2953"/>
    <cellStyle name="Обычный 5 6 2 5" xfId="1875"/>
    <cellStyle name="Обычный 5 6 3" xfId="396"/>
    <cellStyle name="Обычный 5 6 3 2" xfId="939"/>
    <cellStyle name="Обычный 5 6 3 2 2" xfId="2553"/>
    <cellStyle name="Обычный 5 6 3 3" xfId="1475"/>
    <cellStyle name="Обычный 5 6 3 3 2" xfId="3089"/>
    <cellStyle name="Обычный 5 6 3 4" xfId="2011"/>
    <cellStyle name="Обычный 5 6 4" xfId="670"/>
    <cellStyle name="Обычный 5 6 4 2" xfId="2284"/>
    <cellStyle name="Обычный 5 6 5" xfId="1207"/>
    <cellStyle name="Обычный 5 6 5 2" xfId="2821"/>
    <cellStyle name="Обычный 5 6 6" xfId="1743"/>
    <cellStyle name="Обычный 5 7" xfId="70"/>
    <cellStyle name="Обычный 5 7 2" xfId="214"/>
    <cellStyle name="Обычный 5 7 2 2" xfId="484"/>
    <cellStyle name="Обычный 5 7 2 2 2" xfId="1027"/>
    <cellStyle name="Обычный 5 7 2 2 2 2" xfId="2641"/>
    <cellStyle name="Обычный 5 7 2 2 3" xfId="1563"/>
    <cellStyle name="Обычный 5 7 2 2 3 2" xfId="3177"/>
    <cellStyle name="Обычный 5 7 2 2 4" xfId="2099"/>
    <cellStyle name="Обычный 5 7 2 3" xfId="759"/>
    <cellStyle name="Обычный 5 7 2 3 2" xfId="2373"/>
    <cellStyle name="Обычный 5 7 2 4" xfId="1295"/>
    <cellStyle name="Обычный 5 7 2 4 2" xfId="2909"/>
    <cellStyle name="Обычный 5 7 2 5" xfId="1831"/>
    <cellStyle name="Обычный 5 7 3" xfId="352"/>
    <cellStyle name="Обычный 5 7 3 2" xfId="895"/>
    <cellStyle name="Обычный 5 7 3 2 2" xfId="2509"/>
    <cellStyle name="Обычный 5 7 3 3" xfId="1431"/>
    <cellStyle name="Обычный 5 7 3 3 2" xfId="3045"/>
    <cellStyle name="Обычный 5 7 3 4" xfId="1967"/>
    <cellStyle name="Обычный 5 7 4" xfId="625"/>
    <cellStyle name="Обычный 5 7 4 2" xfId="2239"/>
    <cellStyle name="Обычный 5 7 5" xfId="1163"/>
    <cellStyle name="Обычный 5 7 5 2" xfId="2777"/>
    <cellStyle name="Обычный 5 7 6" xfId="1699"/>
    <cellStyle name="Обычный 5 8" xfId="166"/>
    <cellStyle name="Обычный 5 8 2" xfId="440"/>
    <cellStyle name="Обычный 5 8 2 2" xfId="983"/>
    <cellStyle name="Обычный 5 8 2 2 2" xfId="2597"/>
    <cellStyle name="Обычный 5 8 2 3" xfId="1519"/>
    <cellStyle name="Обычный 5 8 2 3 2" xfId="3133"/>
    <cellStyle name="Обычный 5 8 2 4" xfId="2055"/>
    <cellStyle name="Обычный 5 8 3" xfId="715"/>
    <cellStyle name="Обычный 5 8 3 2" xfId="2329"/>
    <cellStyle name="Обычный 5 8 4" xfId="1251"/>
    <cellStyle name="Обычный 5 8 4 2" xfId="2865"/>
    <cellStyle name="Обычный 5 8 5" xfId="1787"/>
    <cellStyle name="Обычный 5 9" xfId="308"/>
    <cellStyle name="Обычный 5 9 2" xfId="851"/>
    <cellStyle name="Обычный 5 9 2 2" xfId="2465"/>
    <cellStyle name="Обычный 5 9 3" xfId="1387"/>
    <cellStyle name="Обычный 5 9 3 2" xfId="3001"/>
    <cellStyle name="Обычный 5 9 4" xfId="1923"/>
    <cellStyle name="Обычный 6" xfId="22"/>
    <cellStyle name="Обычный 6 10" xfId="1657"/>
    <cellStyle name="Обычный 6 2" xfId="45"/>
    <cellStyle name="Обычный 6 2 2" xfId="63"/>
    <cellStyle name="Обычный 6 2 2 2" xfId="158"/>
    <cellStyle name="Обычный 6 2 2 2 2" xfId="297"/>
    <cellStyle name="Обычный 6 2 2 2 2 2" xfId="565"/>
    <cellStyle name="Обычный 6 2 2 2 2 2 2" xfId="1108"/>
    <cellStyle name="Обычный 6 2 2 2 2 2 2 2" xfId="2722"/>
    <cellStyle name="Обычный 6 2 2 2 2 2 3" xfId="1644"/>
    <cellStyle name="Обычный 6 2 2 2 2 2 3 2" xfId="3258"/>
    <cellStyle name="Обычный 6 2 2 2 2 2 4" xfId="2180"/>
    <cellStyle name="Обычный 6 2 2 2 2 3" xfId="840"/>
    <cellStyle name="Обычный 6 2 2 2 2 3 2" xfId="2454"/>
    <cellStyle name="Обычный 6 2 2 2 2 4" xfId="1376"/>
    <cellStyle name="Обычный 6 2 2 2 2 4 2" xfId="2990"/>
    <cellStyle name="Обычный 6 2 2 2 2 5" xfId="1912"/>
    <cellStyle name="Обычный 6 2 2 2 3" xfId="433"/>
    <cellStyle name="Обычный 6 2 2 2 3 2" xfId="976"/>
    <cellStyle name="Обычный 6 2 2 2 3 2 2" xfId="2590"/>
    <cellStyle name="Обычный 6 2 2 2 3 3" xfId="1512"/>
    <cellStyle name="Обычный 6 2 2 2 3 3 2" xfId="3126"/>
    <cellStyle name="Обычный 6 2 2 2 3 4" xfId="2048"/>
    <cellStyle name="Обычный 6 2 2 2 4" xfId="708"/>
    <cellStyle name="Обычный 6 2 2 2 4 2" xfId="2322"/>
    <cellStyle name="Обычный 6 2 2 2 5" xfId="1244"/>
    <cellStyle name="Обычный 6 2 2 2 5 2" xfId="2858"/>
    <cellStyle name="Обычный 6 2 2 2 6" xfId="1780"/>
    <cellStyle name="Обычный 6 2 2 3" xfId="110"/>
    <cellStyle name="Обычный 6 2 2 3 2" xfId="252"/>
    <cellStyle name="Обычный 6 2 2 3 2 2" xfId="521"/>
    <cellStyle name="Обычный 6 2 2 3 2 2 2" xfId="1064"/>
    <cellStyle name="Обычный 6 2 2 3 2 2 2 2" xfId="2678"/>
    <cellStyle name="Обычный 6 2 2 3 2 2 3" xfId="1600"/>
    <cellStyle name="Обычный 6 2 2 3 2 2 3 2" xfId="3214"/>
    <cellStyle name="Обычный 6 2 2 3 2 2 4" xfId="2136"/>
    <cellStyle name="Обычный 6 2 2 3 2 3" xfId="796"/>
    <cellStyle name="Обычный 6 2 2 3 2 3 2" xfId="2410"/>
    <cellStyle name="Обычный 6 2 2 3 2 4" xfId="1332"/>
    <cellStyle name="Обычный 6 2 2 3 2 4 2" xfId="2946"/>
    <cellStyle name="Обычный 6 2 2 3 2 5" xfId="1868"/>
    <cellStyle name="Обычный 6 2 2 3 3" xfId="389"/>
    <cellStyle name="Обычный 6 2 2 3 3 2" xfId="932"/>
    <cellStyle name="Обычный 6 2 2 3 3 2 2" xfId="2546"/>
    <cellStyle name="Обычный 6 2 2 3 3 3" xfId="1468"/>
    <cellStyle name="Обычный 6 2 2 3 3 3 2" xfId="3082"/>
    <cellStyle name="Обычный 6 2 2 3 3 4" xfId="2004"/>
    <cellStyle name="Обычный 6 2 2 3 4" xfId="663"/>
    <cellStyle name="Обычный 6 2 2 3 4 2" xfId="2277"/>
    <cellStyle name="Обычный 6 2 2 3 5" xfId="1200"/>
    <cellStyle name="Обычный 6 2 2 3 5 2" xfId="2814"/>
    <cellStyle name="Обычный 6 2 2 3 6" xfId="1736"/>
    <cellStyle name="Обычный 6 2 2 4" xfId="207"/>
    <cellStyle name="Обычный 6 2 2 4 2" xfId="477"/>
    <cellStyle name="Обычный 6 2 2 4 2 2" xfId="1020"/>
    <cellStyle name="Обычный 6 2 2 4 2 2 2" xfId="2634"/>
    <cellStyle name="Обычный 6 2 2 4 2 3" xfId="1556"/>
    <cellStyle name="Обычный 6 2 2 4 2 3 2" xfId="3170"/>
    <cellStyle name="Обычный 6 2 2 4 2 4" xfId="2092"/>
    <cellStyle name="Обычный 6 2 2 4 3" xfId="752"/>
    <cellStyle name="Обычный 6 2 2 4 3 2" xfId="2366"/>
    <cellStyle name="Обычный 6 2 2 4 4" xfId="1288"/>
    <cellStyle name="Обычный 6 2 2 4 4 2" xfId="2902"/>
    <cellStyle name="Обычный 6 2 2 4 5" xfId="1824"/>
    <cellStyle name="Обычный 6 2 2 5" xfId="345"/>
    <cellStyle name="Обычный 6 2 2 5 2" xfId="888"/>
    <cellStyle name="Обычный 6 2 2 5 2 2" xfId="2502"/>
    <cellStyle name="Обычный 6 2 2 5 3" xfId="1424"/>
    <cellStyle name="Обычный 6 2 2 5 3 2" xfId="3038"/>
    <cellStyle name="Обычный 6 2 2 5 4" xfId="1960"/>
    <cellStyle name="Обычный 6 2 2 6" xfId="618"/>
    <cellStyle name="Обычный 6 2 2 6 2" xfId="2232"/>
    <cellStyle name="Обычный 6 2 2 7" xfId="1156"/>
    <cellStyle name="Обычный 6 2 2 7 2" xfId="2770"/>
    <cellStyle name="Обычный 6 2 2 8" xfId="1692"/>
    <cellStyle name="Обычный 6 2 3" xfId="140"/>
    <cellStyle name="Обычный 6 2 3 2" xfId="279"/>
    <cellStyle name="Обычный 6 2 3 2 2" xfId="547"/>
    <cellStyle name="Обычный 6 2 3 2 2 2" xfId="1090"/>
    <cellStyle name="Обычный 6 2 3 2 2 2 2" xfId="2704"/>
    <cellStyle name="Обычный 6 2 3 2 2 3" xfId="1626"/>
    <cellStyle name="Обычный 6 2 3 2 2 3 2" xfId="3240"/>
    <cellStyle name="Обычный 6 2 3 2 2 4" xfId="2162"/>
    <cellStyle name="Обычный 6 2 3 2 3" xfId="822"/>
    <cellStyle name="Обычный 6 2 3 2 3 2" xfId="2436"/>
    <cellStyle name="Обычный 6 2 3 2 4" xfId="1358"/>
    <cellStyle name="Обычный 6 2 3 2 4 2" xfId="2972"/>
    <cellStyle name="Обычный 6 2 3 2 5" xfId="1894"/>
    <cellStyle name="Обычный 6 2 3 3" xfId="415"/>
    <cellStyle name="Обычный 6 2 3 3 2" xfId="958"/>
    <cellStyle name="Обычный 6 2 3 3 2 2" xfId="2572"/>
    <cellStyle name="Обычный 6 2 3 3 3" xfId="1494"/>
    <cellStyle name="Обычный 6 2 3 3 3 2" xfId="3108"/>
    <cellStyle name="Обычный 6 2 3 3 4" xfId="2030"/>
    <cellStyle name="Обычный 6 2 3 4" xfId="690"/>
    <cellStyle name="Обычный 6 2 3 4 2" xfId="2304"/>
    <cellStyle name="Обычный 6 2 3 5" xfId="1226"/>
    <cellStyle name="Обычный 6 2 3 5 2" xfId="2840"/>
    <cellStyle name="Обычный 6 2 3 6" xfId="1762"/>
    <cellStyle name="Обычный 6 2 4" xfId="92"/>
    <cellStyle name="Обычный 6 2 4 2" xfId="234"/>
    <cellStyle name="Обычный 6 2 4 2 2" xfId="503"/>
    <cellStyle name="Обычный 6 2 4 2 2 2" xfId="1046"/>
    <cellStyle name="Обычный 6 2 4 2 2 2 2" xfId="2660"/>
    <cellStyle name="Обычный 6 2 4 2 2 3" xfId="1582"/>
    <cellStyle name="Обычный 6 2 4 2 2 3 2" xfId="3196"/>
    <cellStyle name="Обычный 6 2 4 2 2 4" xfId="2118"/>
    <cellStyle name="Обычный 6 2 4 2 3" xfId="778"/>
    <cellStyle name="Обычный 6 2 4 2 3 2" xfId="2392"/>
    <cellStyle name="Обычный 6 2 4 2 4" xfId="1314"/>
    <cellStyle name="Обычный 6 2 4 2 4 2" xfId="2928"/>
    <cellStyle name="Обычный 6 2 4 2 5" xfId="1850"/>
    <cellStyle name="Обычный 6 2 4 3" xfId="371"/>
    <cellStyle name="Обычный 6 2 4 3 2" xfId="914"/>
    <cellStyle name="Обычный 6 2 4 3 2 2" xfId="2528"/>
    <cellStyle name="Обычный 6 2 4 3 3" xfId="1450"/>
    <cellStyle name="Обычный 6 2 4 3 3 2" xfId="3064"/>
    <cellStyle name="Обычный 6 2 4 3 4" xfId="1986"/>
    <cellStyle name="Обычный 6 2 4 4" xfId="645"/>
    <cellStyle name="Обычный 6 2 4 4 2" xfId="2259"/>
    <cellStyle name="Обычный 6 2 4 5" xfId="1182"/>
    <cellStyle name="Обычный 6 2 4 5 2" xfId="2796"/>
    <cellStyle name="Обычный 6 2 4 6" xfId="1718"/>
    <cellStyle name="Обычный 6 2 5" xfId="189"/>
    <cellStyle name="Обычный 6 2 5 2" xfId="459"/>
    <cellStyle name="Обычный 6 2 5 2 2" xfId="1002"/>
    <cellStyle name="Обычный 6 2 5 2 2 2" xfId="2616"/>
    <cellStyle name="Обычный 6 2 5 2 3" xfId="1538"/>
    <cellStyle name="Обычный 6 2 5 2 3 2" xfId="3152"/>
    <cellStyle name="Обычный 6 2 5 2 4" xfId="2074"/>
    <cellStyle name="Обычный 6 2 5 3" xfId="734"/>
    <cellStyle name="Обычный 6 2 5 3 2" xfId="2348"/>
    <cellStyle name="Обычный 6 2 5 4" xfId="1270"/>
    <cellStyle name="Обычный 6 2 5 4 2" xfId="2884"/>
    <cellStyle name="Обычный 6 2 5 5" xfId="1806"/>
    <cellStyle name="Обычный 6 2 6" xfId="327"/>
    <cellStyle name="Обычный 6 2 6 2" xfId="870"/>
    <cellStyle name="Обычный 6 2 6 2 2" xfId="2484"/>
    <cellStyle name="Обычный 6 2 6 3" xfId="1406"/>
    <cellStyle name="Обычный 6 2 6 3 2" xfId="3020"/>
    <cellStyle name="Обычный 6 2 6 4" xfId="1942"/>
    <cellStyle name="Обычный 6 2 7" xfId="600"/>
    <cellStyle name="Обычный 6 2 7 2" xfId="2214"/>
    <cellStyle name="Обычный 6 2 8" xfId="1138"/>
    <cellStyle name="Обычный 6 2 8 2" xfId="2752"/>
    <cellStyle name="Обычный 6 2 9" xfId="1674"/>
    <cellStyle name="Обычный 6 3" xfId="58"/>
    <cellStyle name="Обычный 6 3 2" xfId="153"/>
    <cellStyle name="Обычный 6 3 2 2" xfId="292"/>
    <cellStyle name="Обычный 6 3 2 2 2" xfId="560"/>
    <cellStyle name="Обычный 6 3 2 2 2 2" xfId="1103"/>
    <cellStyle name="Обычный 6 3 2 2 2 2 2" xfId="2717"/>
    <cellStyle name="Обычный 6 3 2 2 2 3" xfId="1639"/>
    <cellStyle name="Обычный 6 3 2 2 2 3 2" xfId="3253"/>
    <cellStyle name="Обычный 6 3 2 2 2 4" xfId="2175"/>
    <cellStyle name="Обычный 6 3 2 2 3" xfId="835"/>
    <cellStyle name="Обычный 6 3 2 2 3 2" xfId="2449"/>
    <cellStyle name="Обычный 6 3 2 2 4" xfId="1371"/>
    <cellStyle name="Обычный 6 3 2 2 4 2" xfId="2985"/>
    <cellStyle name="Обычный 6 3 2 2 5" xfId="1907"/>
    <cellStyle name="Обычный 6 3 2 3" xfId="428"/>
    <cellStyle name="Обычный 6 3 2 3 2" xfId="971"/>
    <cellStyle name="Обычный 6 3 2 3 2 2" xfId="2585"/>
    <cellStyle name="Обычный 6 3 2 3 3" xfId="1507"/>
    <cellStyle name="Обычный 6 3 2 3 3 2" xfId="3121"/>
    <cellStyle name="Обычный 6 3 2 3 4" xfId="2043"/>
    <cellStyle name="Обычный 6 3 2 4" xfId="703"/>
    <cellStyle name="Обычный 6 3 2 4 2" xfId="2317"/>
    <cellStyle name="Обычный 6 3 2 5" xfId="1239"/>
    <cellStyle name="Обычный 6 3 2 5 2" xfId="2853"/>
    <cellStyle name="Обычный 6 3 2 6" xfId="1775"/>
    <cellStyle name="Обычный 6 3 3" xfId="105"/>
    <cellStyle name="Обычный 6 3 3 2" xfId="247"/>
    <cellStyle name="Обычный 6 3 3 2 2" xfId="516"/>
    <cellStyle name="Обычный 6 3 3 2 2 2" xfId="1059"/>
    <cellStyle name="Обычный 6 3 3 2 2 2 2" xfId="2673"/>
    <cellStyle name="Обычный 6 3 3 2 2 3" xfId="1595"/>
    <cellStyle name="Обычный 6 3 3 2 2 3 2" xfId="3209"/>
    <cellStyle name="Обычный 6 3 3 2 2 4" xfId="2131"/>
    <cellStyle name="Обычный 6 3 3 2 3" xfId="791"/>
    <cellStyle name="Обычный 6 3 3 2 3 2" xfId="2405"/>
    <cellStyle name="Обычный 6 3 3 2 4" xfId="1327"/>
    <cellStyle name="Обычный 6 3 3 2 4 2" xfId="2941"/>
    <cellStyle name="Обычный 6 3 3 2 5" xfId="1863"/>
    <cellStyle name="Обычный 6 3 3 3" xfId="384"/>
    <cellStyle name="Обычный 6 3 3 3 2" xfId="927"/>
    <cellStyle name="Обычный 6 3 3 3 2 2" xfId="2541"/>
    <cellStyle name="Обычный 6 3 3 3 3" xfId="1463"/>
    <cellStyle name="Обычный 6 3 3 3 3 2" xfId="3077"/>
    <cellStyle name="Обычный 6 3 3 3 4" xfId="1999"/>
    <cellStyle name="Обычный 6 3 3 4" xfId="658"/>
    <cellStyle name="Обычный 6 3 3 4 2" xfId="2272"/>
    <cellStyle name="Обычный 6 3 3 5" xfId="1195"/>
    <cellStyle name="Обычный 6 3 3 5 2" xfId="2809"/>
    <cellStyle name="Обычный 6 3 3 6" xfId="1731"/>
    <cellStyle name="Обычный 6 3 4" xfId="202"/>
    <cellStyle name="Обычный 6 3 4 2" xfId="472"/>
    <cellStyle name="Обычный 6 3 4 2 2" xfId="1015"/>
    <cellStyle name="Обычный 6 3 4 2 2 2" xfId="2629"/>
    <cellStyle name="Обычный 6 3 4 2 3" xfId="1551"/>
    <cellStyle name="Обычный 6 3 4 2 3 2" xfId="3165"/>
    <cellStyle name="Обычный 6 3 4 2 4" xfId="2087"/>
    <cellStyle name="Обычный 6 3 4 3" xfId="747"/>
    <cellStyle name="Обычный 6 3 4 3 2" xfId="2361"/>
    <cellStyle name="Обычный 6 3 4 4" xfId="1283"/>
    <cellStyle name="Обычный 6 3 4 4 2" xfId="2897"/>
    <cellStyle name="Обычный 6 3 4 5" xfId="1819"/>
    <cellStyle name="Обычный 6 3 5" xfId="340"/>
    <cellStyle name="Обычный 6 3 5 2" xfId="883"/>
    <cellStyle name="Обычный 6 3 5 2 2" xfId="2497"/>
    <cellStyle name="Обычный 6 3 5 3" xfId="1419"/>
    <cellStyle name="Обычный 6 3 5 3 2" xfId="3033"/>
    <cellStyle name="Обычный 6 3 5 4" xfId="1955"/>
    <cellStyle name="Обычный 6 3 6" xfId="613"/>
    <cellStyle name="Обычный 6 3 6 2" xfId="2227"/>
    <cellStyle name="Обычный 6 3 7" xfId="1151"/>
    <cellStyle name="Обычный 6 3 7 2" xfId="2765"/>
    <cellStyle name="Обычный 6 3 8" xfId="1687"/>
    <cellStyle name="Обычный 6 4" xfId="120"/>
    <cellStyle name="Обычный 6 4 2" xfId="261"/>
    <cellStyle name="Обычный 6 4 2 2" xfId="530"/>
    <cellStyle name="Обычный 6 4 2 2 2" xfId="1073"/>
    <cellStyle name="Обычный 6 4 2 2 2 2" xfId="2687"/>
    <cellStyle name="Обычный 6 4 2 2 3" xfId="1609"/>
    <cellStyle name="Обычный 6 4 2 2 3 2" xfId="3223"/>
    <cellStyle name="Обычный 6 4 2 2 4" xfId="2145"/>
    <cellStyle name="Обычный 6 4 2 3" xfId="805"/>
    <cellStyle name="Обычный 6 4 2 3 2" xfId="2419"/>
    <cellStyle name="Обычный 6 4 2 4" xfId="1341"/>
    <cellStyle name="Обычный 6 4 2 4 2" xfId="2955"/>
    <cellStyle name="Обычный 6 4 2 5" xfId="1877"/>
    <cellStyle name="Обычный 6 4 3" xfId="398"/>
    <cellStyle name="Обычный 6 4 3 2" xfId="941"/>
    <cellStyle name="Обычный 6 4 3 2 2" xfId="2555"/>
    <cellStyle name="Обычный 6 4 3 3" xfId="1477"/>
    <cellStyle name="Обычный 6 4 3 3 2" xfId="3091"/>
    <cellStyle name="Обычный 6 4 3 4" xfId="2013"/>
    <cellStyle name="Обычный 6 4 4" xfId="672"/>
    <cellStyle name="Обычный 6 4 4 2" xfId="2286"/>
    <cellStyle name="Обычный 6 4 5" xfId="1209"/>
    <cellStyle name="Обычный 6 4 5 2" xfId="2823"/>
    <cellStyle name="Обычный 6 4 6" xfId="1745"/>
    <cellStyle name="Обычный 6 5" xfId="72"/>
    <cellStyle name="Обычный 6 5 2" xfId="216"/>
    <cellStyle name="Обычный 6 5 2 2" xfId="486"/>
    <cellStyle name="Обычный 6 5 2 2 2" xfId="1029"/>
    <cellStyle name="Обычный 6 5 2 2 2 2" xfId="2643"/>
    <cellStyle name="Обычный 6 5 2 2 3" xfId="1565"/>
    <cellStyle name="Обычный 6 5 2 2 3 2" xfId="3179"/>
    <cellStyle name="Обычный 6 5 2 2 4" xfId="2101"/>
    <cellStyle name="Обычный 6 5 2 3" xfId="761"/>
    <cellStyle name="Обычный 6 5 2 3 2" xfId="2375"/>
    <cellStyle name="Обычный 6 5 2 4" xfId="1297"/>
    <cellStyle name="Обычный 6 5 2 4 2" xfId="2911"/>
    <cellStyle name="Обычный 6 5 2 5" xfId="1833"/>
    <cellStyle name="Обычный 6 5 3" xfId="354"/>
    <cellStyle name="Обычный 6 5 3 2" xfId="897"/>
    <cellStyle name="Обычный 6 5 3 2 2" xfId="2511"/>
    <cellStyle name="Обычный 6 5 3 3" xfId="1433"/>
    <cellStyle name="Обычный 6 5 3 3 2" xfId="3047"/>
    <cellStyle name="Обычный 6 5 3 4" xfId="1969"/>
    <cellStyle name="Обычный 6 5 4" xfId="627"/>
    <cellStyle name="Обычный 6 5 4 2" xfId="2241"/>
    <cellStyle name="Обычный 6 5 5" xfId="1165"/>
    <cellStyle name="Обычный 6 5 5 2" xfId="2779"/>
    <cellStyle name="Обычный 6 5 6" xfId="1701"/>
    <cellStyle name="Обычный 6 6" xfId="170"/>
    <cellStyle name="Обычный 6 6 2" xfId="442"/>
    <cellStyle name="Обычный 6 6 2 2" xfId="985"/>
    <cellStyle name="Обычный 6 6 2 2 2" xfId="2599"/>
    <cellStyle name="Обычный 6 6 2 3" xfId="1521"/>
    <cellStyle name="Обычный 6 6 2 3 2" xfId="3135"/>
    <cellStyle name="Обычный 6 6 2 4" xfId="2057"/>
    <cellStyle name="Обычный 6 6 3" xfId="717"/>
    <cellStyle name="Обычный 6 6 3 2" xfId="2331"/>
    <cellStyle name="Обычный 6 6 4" xfId="1253"/>
    <cellStyle name="Обычный 6 6 4 2" xfId="2867"/>
    <cellStyle name="Обычный 6 6 5" xfId="1789"/>
    <cellStyle name="Обычный 6 7" xfId="310"/>
    <cellStyle name="Обычный 6 7 2" xfId="853"/>
    <cellStyle name="Обычный 6 7 2 2" xfId="2467"/>
    <cellStyle name="Обычный 6 7 3" xfId="1389"/>
    <cellStyle name="Обычный 6 7 3 2" xfId="3003"/>
    <cellStyle name="Обычный 6 7 4" xfId="1925"/>
    <cellStyle name="Обычный 6 8" xfId="581"/>
    <cellStyle name="Обычный 6 8 2" xfId="2195"/>
    <cellStyle name="Обычный 6 9" xfId="1121"/>
    <cellStyle name="Обычный 6 9 2" xfId="2735"/>
    <cellStyle name="Обычный 7" xfId="1"/>
    <cellStyle name="Обычный 7 2" xfId="574"/>
    <cellStyle name="Обычный 8" xfId="3267"/>
    <cellStyle name="Обычный 9" xfId="3268"/>
    <cellStyle name="Процентный 2" xfId="3"/>
    <cellStyle name="Финансовый 2" xfId="11"/>
    <cellStyle name="Финансовый 2 10" xfId="307"/>
    <cellStyle name="Финансовый 2 10 2" xfId="850"/>
    <cellStyle name="Финансовый 2 10 2 2" xfId="2464"/>
    <cellStyle name="Финансовый 2 10 3" xfId="1386"/>
    <cellStyle name="Финансовый 2 10 3 2" xfId="3000"/>
    <cellStyle name="Финансовый 2 10 4" xfId="1922"/>
    <cellStyle name="Финансовый 2 11" xfId="576"/>
    <cellStyle name="Финансовый 2 11 2" xfId="2190"/>
    <cellStyle name="Финансовый 2 12" xfId="1118"/>
    <cellStyle name="Финансовый 2 12 2" xfId="2732"/>
    <cellStyle name="Финансовый 2 13" xfId="1654"/>
    <cellStyle name="Финансовый 2 2" xfId="20"/>
    <cellStyle name="Финансовый 2 2 2" xfId="168"/>
    <cellStyle name="Финансовый 2 2 3" xfId="579"/>
    <cellStyle name="Финансовый 2 2 3 2" xfId="2193"/>
    <cellStyle name="Финансовый 2 2 3 2 2" xfId="3281"/>
    <cellStyle name="Финансовый 2 2 3 3" xfId="3275"/>
    <cellStyle name="Финансовый 2 2 4" xfId="3269"/>
    <cellStyle name="Финансовый 2 3" xfId="24"/>
    <cellStyle name="Финансовый 2 3 10" xfId="312"/>
    <cellStyle name="Финансовый 2 3 10 2" xfId="855"/>
    <cellStyle name="Финансовый 2 3 10 2 2" xfId="2469"/>
    <cellStyle name="Финансовый 2 3 10 3" xfId="1391"/>
    <cellStyle name="Финансовый 2 3 10 3 2" xfId="3005"/>
    <cellStyle name="Финансовый 2 3 10 4" xfId="1927"/>
    <cellStyle name="Финансовый 2 3 11" xfId="583"/>
    <cellStyle name="Финансовый 2 3 11 2" xfId="2197"/>
    <cellStyle name="Финансовый 2 3 12" xfId="1123"/>
    <cellStyle name="Финансовый 2 3 12 2" xfId="2737"/>
    <cellStyle name="Финансовый 2 3 13" xfId="1659"/>
    <cellStyle name="Финансовый 2 3 2" xfId="47"/>
    <cellStyle name="Финансовый 2 3 2 2" xfId="65"/>
    <cellStyle name="Финансовый 2 3 2 2 2" xfId="160"/>
    <cellStyle name="Финансовый 2 3 2 2 2 2" xfId="299"/>
    <cellStyle name="Финансовый 2 3 2 2 2 2 2" xfId="567"/>
    <cellStyle name="Финансовый 2 3 2 2 2 2 2 2" xfId="1110"/>
    <cellStyle name="Финансовый 2 3 2 2 2 2 2 2 2" xfId="2724"/>
    <cellStyle name="Финансовый 2 3 2 2 2 2 2 3" xfId="1646"/>
    <cellStyle name="Финансовый 2 3 2 2 2 2 2 3 2" xfId="3260"/>
    <cellStyle name="Финансовый 2 3 2 2 2 2 2 4" xfId="2182"/>
    <cellStyle name="Финансовый 2 3 2 2 2 2 3" xfId="842"/>
    <cellStyle name="Финансовый 2 3 2 2 2 2 3 2" xfId="2456"/>
    <cellStyle name="Финансовый 2 3 2 2 2 2 4" xfId="1378"/>
    <cellStyle name="Финансовый 2 3 2 2 2 2 4 2" xfId="2992"/>
    <cellStyle name="Финансовый 2 3 2 2 2 2 5" xfId="1914"/>
    <cellStyle name="Финансовый 2 3 2 2 2 3" xfId="435"/>
    <cellStyle name="Финансовый 2 3 2 2 2 3 2" xfId="978"/>
    <cellStyle name="Финансовый 2 3 2 2 2 3 2 2" xfId="2592"/>
    <cellStyle name="Финансовый 2 3 2 2 2 3 3" xfId="1514"/>
    <cellStyle name="Финансовый 2 3 2 2 2 3 3 2" xfId="3128"/>
    <cellStyle name="Финансовый 2 3 2 2 2 3 4" xfId="2050"/>
    <cellStyle name="Финансовый 2 3 2 2 2 4" xfId="710"/>
    <cellStyle name="Финансовый 2 3 2 2 2 4 2" xfId="2324"/>
    <cellStyle name="Финансовый 2 3 2 2 2 5" xfId="1246"/>
    <cellStyle name="Финансовый 2 3 2 2 2 5 2" xfId="2860"/>
    <cellStyle name="Финансовый 2 3 2 2 2 6" xfId="1782"/>
    <cellStyle name="Финансовый 2 3 2 2 3" xfId="112"/>
    <cellStyle name="Финансовый 2 3 2 2 3 2" xfId="254"/>
    <cellStyle name="Финансовый 2 3 2 2 3 2 2" xfId="523"/>
    <cellStyle name="Финансовый 2 3 2 2 3 2 2 2" xfId="1066"/>
    <cellStyle name="Финансовый 2 3 2 2 3 2 2 2 2" xfId="2680"/>
    <cellStyle name="Финансовый 2 3 2 2 3 2 2 3" xfId="1602"/>
    <cellStyle name="Финансовый 2 3 2 2 3 2 2 3 2" xfId="3216"/>
    <cellStyle name="Финансовый 2 3 2 2 3 2 2 4" xfId="2138"/>
    <cellStyle name="Финансовый 2 3 2 2 3 2 3" xfId="798"/>
    <cellStyle name="Финансовый 2 3 2 2 3 2 3 2" xfId="2412"/>
    <cellStyle name="Финансовый 2 3 2 2 3 2 4" xfId="1334"/>
    <cellStyle name="Финансовый 2 3 2 2 3 2 4 2" xfId="2948"/>
    <cellStyle name="Финансовый 2 3 2 2 3 2 5" xfId="1870"/>
    <cellStyle name="Финансовый 2 3 2 2 3 3" xfId="391"/>
    <cellStyle name="Финансовый 2 3 2 2 3 3 2" xfId="934"/>
    <cellStyle name="Финансовый 2 3 2 2 3 3 2 2" xfId="2548"/>
    <cellStyle name="Финансовый 2 3 2 2 3 3 3" xfId="1470"/>
    <cellStyle name="Финансовый 2 3 2 2 3 3 3 2" xfId="3084"/>
    <cellStyle name="Финансовый 2 3 2 2 3 3 4" xfId="2006"/>
    <cellStyle name="Финансовый 2 3 2 2 3 4" xfId="665"/>
    <cellStyle name="Финансовый 2 3 2 2 3 4 2" xfId="2279"/>
    <cellStyle name="Финансовый 2 3 2 2 3 5" xfId="1202"/>
    <cellStyle name="Финансовый 2 3 2 2 3 5 2" xfId="2816"/>
    <cellStyle name="Финансовый 2 3 2 2 3 6" xfId="1738"/>
    <cellStyle name="Финансовый 2 3 2 2 4" xfId="209"/>
    <cellStyle name="Финансовый 2 3 2 2 4 2" xfId="479"/>
    <cellStyle name="Финансовый 2 3 2 2 4 2 2" xfId="1022"/>
    <cellStyle name="Финансовый 2 3 2 2 4 2 2 2" xfId="2636"/>
    <cellStyle name="Финансовый 2 3 2 2 4 2 3" xfId="1558"/>
    <cellStyle name="Финансовый 2 3 2 2 4 2 3 2" xfId="3172"/>
    <cellStyle name="Финансовый 2 3 2 2 4 2 4" xfId="2094"/>
    <cellStyle name="Финансовый 2 3 2 2 4 3" xfId="754"/>
    <cellStyle name="Финансовый 2 3 2 2 4 3 2" xfId="2368"/>
    <cellStyle name="Финансовый 2 3 2 2 4 4" xfId="1290"/>
    <cellStyle name="Финансовый 2 3 2 2 4 4 2" xfId="2904"/>
    <cellStyle name="Финансовый 2 3 2 2 4 5" xfId="1826"/>
    <cellStyle name="Финансовый 2 3 2 2 5" xfId="347"/>
    <cellStyle name="Финансовый 2 3 2 2 5 2" xfId="890"/>
    <cellStyle name="Финансовый 2 3 2 2 5 2 2" xfId="2504"/>
    <cellStyle name="Финансовый 2 3 2 2 5 3" xfId="1426"/>
    <cellStyle name="Финансовый 2 3 2 2 5 3 2" xfId="3040"/>
    <cellStyle name="Финансовый 2 3 2 2 5 4" xfId="1962"/>
    <cellStyle name="Финансовый 2 3 2 2 6" xfId="620"/>
    <cellStyle name="Финансовый 2 3 2 2 6 2" xfId="2234"/>
    <cellStyle name="Финансовый 2 3 2 2 7" xfId="1158"/>
    <cellStyle name="Финансовый 2 3 2 2 7 2" xfId="2772"/>
    <cellStyle name="Финансовый 2 3 2 2 8" xfId="1694"/>
    <cellStyle name="Финансовый 2 3 2 3" xfId="142"/>
    <cellStyle name="Финансовый 2 3 2 3 2" xfId="281"/>
    <cellStyle name="Финансовый 2 3 2 3 2 2" xfId="549"/>
    <cellStyle name="Финансовый 2 3 2 3 2 2 2" xfId="1092"/>
    <cellStyle name="Финансовый 2 3 2 3 2 2 2 2" xfId="2706"/>
    <cellStyle name="Финансовый 2 3 2 3 2 2 3" xfId="1628"/>
    <cellStyle name="Финансовый 2 3 2 3 2 2 3 2" xfId="3242"/>
    <cellStyle name="Финансовый 2 3 2 3 2 2 4" xfId="2164"/>
    <cellStyle name="Финансовый 2 3 2 3 2 3" xfId="824"/>
    <cellStyle name="Финансовый 2 3 2 3 2 3 2" xfId="2438"/>
    <cellStyle name="Финансовый 2 3 2 3 2 4" xfId="1360"/>
    <cellStyle name="Финансовый 2 3 2 3 2 4 2" xfId="2974"/>
    <cellStyle name="Финансовый 2 3 2 3 2 5" xfId="1896"/>
    <cellStyle name="Финансовый 2 3 2 3 3" xfId="417"/>
    <cellStyle name="Финансовый 2 3 2 3 3 2" xfId="960"/>
    <cellStyle name="Финансовый 2 3 2 3 3 2 2" xfId="2574"/>
    <cellStyle name="Финансовый 2 3 2 3 3 3" xfId="1496"/>
    <cellStyle name="Финансовый 2 3 2 3 3 3 2" xfId="3110"/>
    <cellStyle name="Финансовый 2 3 2 3 3 4" xfId="2032"/>
    <cellStyle name="Финансовый 2 3 2 3 4" xfId="692"/>
    <cellStyle name="Финансовый 2 3 2 3 4 2" xfId="2306"/>
    <cellStyle name="Финансовый 2 3 2 3 5" xfId="1228"/>
    <cellStyle name="Финансовый 2 3 2 3 5 2" xfId="2842"/>
    <cellStyle name="Финансовый 2 3 2 3 6" xfId="1764"/>
    <cellStyle name="Финансовый 2 3 2 4" xfId="94"/>
    <cellStyle name="Финансовый 2 3 2 4 2" xfId="236"/>
    <cellStyle name="Финансовый 2 3 2 4 2 2" xfId="505"/>
    <cellStyle name="Финансовый 2 3 2 4 2 2 2" xfId="1048"/>
    <cellStyle name="Финансовый 2 3 2 4 2 2 2 2" xfId="2662"/>
    <cellStyle name="Финансовый 2 3 2 4 2 2 3" xfId="1584"/>
    <cellStyle name="Финансовый 2 3 2 4 2 2 3 2" xfId="3198"/>
    <cellStyle name="Финансовый 2 3 2 4 2 2 4" xfId="2120"/>
    <cellStyle name="Финансовый 2 3 2 4 2 3" xfId="780"/>
    <cellStyle name="Финансовый 2 3 2 4 2 3 2" xfId="2394"/>
    <cellStyle name="Финансовый 2 3 2 4 2 4" xfId="1316"/>
    <cellStyle name="Финансовый 2 3 2 4 2 4 2" xfId="2930"/>
    <cellStyle name="Финансовый 2 3 2 4 2 5" xfId="1852"/>
    <cellStyle name="Финансовый 2 3 2 4 3" xfId="373"/>
    <cellStyle name="Финансовый 2 3 2 4 3 2" xfId="916"/>
    <cellStyle name="Финансовый 2 3 2 4 3 2 2" xfId="2530"/>
    <cellStyle name="Финансовый 2 3 2 4 3 3" xfId="1452"/>
    <cellStyle name="Финансовый 2 3 2 4 3 3 2" xfId="3066"/>
    <cellStyle name="Финансовый 2 3 2 4 3 4" xfId="1988"/>
    <cellStyle name="Финансовый 2 3 2 4 4" xfId="647"/>
    <cellStyle name="Финансовый 2 3 2 4 4 2" xfId="2261"/>
    <cellStyle name="Финансовый 2 3 2 4 5" xfId="1184"/>
    <cellStyle name="Финансовый 2 3 2 4 5 2" xfId="2798"/>
    <cellStyle name="Финансовый 2 3 2 4 6" xfId="1720"/>
    <cellStyle name="Финансовый 2 3 2 5" xfId="191"/>
    <cellStyle name="Финансовый 2 3 2 5 2" xfId="461"/>
    <cellStyle name="Финансовый 2 3 2 5 2 2" xfId="1004"/>
    <cellStyle name="Финансовый 2 3 2 5 2 2 2" xfId="2618"/>
    <cellStyle name="Финансовый 2 3 2 5 2 3" xfId="1540"/>
    <cellStyle name="Финансовый 2 3 2 5 2 3 2" xfId="3154"/>
    <cellStyle name="Финансовый 2 3 2 5 2 4" xfId="2076"/>
    <cellStyle name="Финансовый 2 3 2 5 3" xfId="736"/>
    <cellStyle name="Финансовый 2 3 2 5 3 2" xfId="2350"/>
    <cellStyle name="Финансовый 2 3 2 5 4" xfId="1272"/>
    <cellStyle name="Финансовый 2 3 2 5 4 2" xfId="2886"/>
    <cellStyle name="Финансовый 2 3 2 5 5" xfId="1808"/>
    <cellStyle name="Финансовый 2 3 2 6" xfId="329"/>
    <cellStyle name="Финансовый 2 3 2 6 2" xfId="872"/>
    <cellStyle name="Финансовый 2 3 2 6 2 2" xfId="2486"/>
    <cellStyle name="Финансовый 2 3 2 6 3" xfId="1408"/>
    <cellStyle name="Финансовый 2 3 2 6 3 2" xfId="3022"/>
    <cellStyle name="Финансовый 2 3 2 6 4" xfId="1944"/>
    <cellStyle name="Финансовый 2 3 2 7" xfId="602"/>
    <cellStyle name="Финансовый 2 3 2 7 2" xfId="2216"/>
    <cellStyle name="Финансовый 2 3 2 8" xfId="1140"/>
    <cellStyle name="Финансовый 2 3 2 8 2" xfId="2754"/>
    <cellStyle name="Финансовый 2 3 2 9" xfId="1676"/>
    <cellStyle name="Финансовый 2 3 3" xfId="38"/>
    <cellStyle name="Финансовый 2 3 3 2" xfId="133"/>
    <cellStyle name="Финансовый 2 3 3 2 2" xfId="272"/>
    <cellStyle name="Финансовый 2 3 3 2 2 2" xfId="540"/>
    <cellStyle name="Финансовый 2 3 3 2 2 2 2" xfId="1083"/>
    <cellStyle name="Финансовый 2 3 3 2 2 2 2 2" xfId="2697"/>
    <cellStyle name="Финансовый 2 3 3 2 2 2 3" xfId="1619"/>
    <cellStyle name="Финансовый 2 3 3 2 2 2 3 2" xfId="3233"/>
    <cellStyle name="Финансовый 2 3 3 2 2 2 4" xfId="2155"/>
    <cellStyle name="Финансовый 2 3 3 2 2 3" xfId="815"/>
    <cellStyle name="Финансовый 2 3 3 2 2 3 2" xfId="2429"/>
    <cellStyle name="Финансовый 2 3 3 2 2 4" xfId="1351"/>
    <cellStyle name="Финансовый 2 3 3 2 2 4 2" xfId="2965"/>
    <cellStyle name="Финансовый 2 3 3 2 2 5" xfId="1887"/>
    <cellStyle name="Финансовый 2 3 3 2 3" xfId="408"/>
    <cellStyle name="Финансовый 2 3 3 2 3 2" xfId="951"/>
    <cellStyle name="Финансовый 2 3 3 2 3 2 2" xfId="2565"/>
    <cellStyle name="Финансовый 2 3 3 2 3 3" xfId="1487"/>
    <cellStyle name="Финансовый 2 3 3 2 3 3 2" xfId="3101"/>
    <cellStyle name="Финансовый 2 3 3 2 3 4" xfId="2023"/>
    <cellStyle name="Финансовый 2 3 3 2 4" xfId="683"/>
    <cellStyle name="Финансовый 2 3 3 2 4 2" xfId="2297"/>
    <cellStyle name="Финансовый 2 3 3 2 5" xfId="1219"/>
    <cellStyle name="Финансовый 2 3 3 2 5 2" xfId="2833"/>
    <cellStyle name="Финансовый 2 3 3 2 6" xfId="1755"/>
    <cellStyle name="Финансовый 2 3 3 3" xfId="85"/>
    <cellStyle name="Финансовый 2 3 3 3 2" xfId="227"/>
    <cellStyle name="Финансовый 2 3 3 3 2 2" xfId="496"/>
    <cellStyle name="Финансовый 2 3 3 3 2 2 2" xfId="1039"/>
    <cellStyle name="Финансовый 2 3 3 3 2 2 2 2" xfId="2653"/>
    <cellStyle name="Финансовый 2 3 3 3 2 2 3" xfId="1575"/>
    <cellStyle name="Финансовый 2 3 3 3 2 2 3 2" xfId="3189"/>
    <cellStyle name="Финансовый 2 3 3 3 2 2 4" xfId="2111"/>
    <cellStyle name="Финансовый 2 3 3 3 2 3" xfId="771"/>
    <cellStyle name="Финансовый 2 3 3 3 2 3 2" xfId="2385"/>
    <cellStyle name="Финансовый 2 3 3 3 2 4" xfId="1307"/>
    <cellStyle name="Финансовый 2 3 3 3 2 4 2" xfId="2921"/>
    <cellStyle name="Финансовый 2 3 3 3 2 5" xfId="1843"/>
    <cellStyle name="Финансовый 2 3 3 3 3" xfId="364"/>
    <cellStyle name="Финансовый 2 3 3 3 3 2" xfId="907"/>
    <cellStyle name="Финансовый 2 3 3 3 3 2 2" xfId="2521"/>
    <cellStyle name="Финансовый 2 3 3 3 3 3" xfId="1443"/>
    <cellStyle name="Финансовый 2 3 3 3 3 3 2" xfId="3057"/>
    <cellStyle name="Финансовый 2 3 3 3 3 4" xfId="1979"/>
    <cellStyle name="Финансовый 2 3 3 3 4" xfId="638"/>
    <cellStyle name="Финансовый 2 3 3 3 4 2" xfId="2252"/>
    <cellStyle name="Финансовый 2 3 3 3 5" xfId="1175"/>
    <cellStyle name="Финансовый 2 3 3 3 5 2" xfId="2789"/>
    <cellStyle name="Финансовый 2 3 3 3 6" xfId="1711"/>
    <cellStyle name="Финансовый 2 3 3 4" xfId="182"/>
    <cellStyle name="Финансовый 2 3 3 4 2" xfId="452"/>
    <cellStyle name="Финансовый 2 3 3 4 2 2" xfId="995"/>
    <cellStyle name="Финансовый 2 3 3 4 2 2 2" xfId="2609"/>
    <cellStyle name="Финансовый 2 3 3 4 2 3" xfId="1531"/>
    <cellStyle name="Финансовый 2 3 3 4 2 3 2" xfId="3145"/>
    <cellStyle name="Финансовый 2 3 3 4 2 4" xfId="2067"/>
    <cellStyle name="Финансовый 2 3 3 4 3" xfId="727"/>
    <cellStyle name="Финансовый 2 3 3 4 3 2" xfId="2341"/>
    <cellStyle name="Финансовый 2 3 3 4 4" xfId="1263"/>
    <cellStyle name="Финансовый 2 3 3 4 4 2" xfId="2877"/>
    <cellStyle name="Финансовый 2 3 3 4 5" xfId="1799"/>
    <cellStyle name="Финансовый 2 3 3 5" xfId="320"/>
    <cellStyle name="Финансовый 2 3 3 5 2" xfId="863"/>
    <cellStyle name="Финансовый 2 3 3 5 2 2" xfId="2477"/>
    <cellStyle name="Финансовый 2 3 3 5 3" xfId="1399"/>
    <cellStyle name="Финансовый 2 3 3 5 3 2" xfId="3013"/>
    <cellStyle name="Финансовый 2 3 3 5 4" xfId="1935"/>
    <cellStyle name="Финансовый 2 3 3 6" xfId="593"/>
    <cellStyle name="Финансовый 2 3 3 6 2" xfId="2207"/>
    <cellStyle name="Финансовый 2 3 3 7" xfId="1131"/>
    <cellStyle name="Финансовый 2 3 3 7 2" xfId="2745"/>
    <cellStyle name="Финансовый 2 3 3 8" xfId="1667"/>
    <cellStyle name="Финансовый 2 3 4" xfId="55"/>
    <cellStyle name="Финансовый 2 3 4 2" xfId="150"/>
    <cellStyle name="Финансовый 2 3 4 2 2" xfId="289"/>
    <cellStyle name="Финансовый 2 3 4 2 2 2" xfId="557"/>
    <cellStyle name="Финансовый 2 3 4 2 2 2 2" xfId="1100"/>
    <cellStyle name="Финансовый 2 3 4 2 2 2 2 2" xfId="2714"/>
    <cellStyle name="Финансовый 2 3 4 2 2 2 3" xfId="1636"/>
    <cellStyle name="Финансовый 2 3 4 2 2 2 3 2" xfId="3250"/>
    <cellStyle name="Финансовый 2 3 4 2 2 2 4" xfId="2172"/>
    <cellStyle name="Финансовый 2 3 4 2 2 3" xfId="832"/>
    <cellStyle name="Финансовый 2 3 4 2 2 3 2" xfId="2446"/>
    <cellStyle name="Финансовый 2 3 4 2 2 4" xfId="1368"/>
    <cellStyle name="Финансовый 2 3 4 2 2 4 2" xfId="2982"/>
    <cellStyle name="Финансовый 2 3 4 2 2 5" xfId="1904"/>
    <cellStyle name="Финансовый 2 3 4 2 3" xfId="425"/>
    <cellStyle name="Финансовый 2 3 4 2 3 2" xfId="968"/>
    <cellStyle name="Финансовый 2 3 4 2 3 2 2" xfId="2582"/>
    <cellStyle name="Финансовый 2 3 4 2 3 3" xfId="1504"/>
    <cellStyle name="Финансовый 2 3 4 2 3 3 2" xfId="3118"/>
    <cellStyle name="Финансовый 2 3 4 2 3 4" xfId="2040"/>
    <cellStyle name="Финансовый 2 3 4 2 4" xfId="700"/>
    <cellStyle name="Финансовый 2 3 4 2 4 2" xfId="2314"/>
    <cellStyle name="Финансовый 2 3 4 2 5" xfId="1236"/>
    <cellStyle name="Финансовый 2 3 4 2 5 2" xfId="2850"/>
    <cellStyle name="Финансовый 2 3 4 2 6" xfId="1772"/>
    <cellStyle name="Финансовый 2 3 4 3" xfId="102"/>
    <cellStyle name="Финансовый 2 3 4 3 2" xfId="244"/>
    <cellStyle name="Финансовый 2 3 4 3 2 2" xfId="513"/>
    <cellStyle name="Финансовый 2 3 4 3 2 2 2" xfId="1056"/>
    <cellStyle name="Финансовый 2 3 4 3 2 2 2 2" xfId="2670"/>
    <cellStyle name="Финансовый 2 3 4 3 2 2 3" xfId="1592"/>
    <cellStyle name="Финансовый 2 3 4 3 2 2 3 2" xfId="3206"/>
    <cellStyle name="Финансовый 2 3 4 3 2 2 4" xfId="2128"/>
    <cellStyle name="Финансовый 2 3 4 3 2 3" xfId="788"/>
    <cellStyle name="Финансовый 2 3 4 3 2 3 2" xfId="2402"/>
    <cellStyle name="Финансовый 2 3 4 3 2 4" xfId="1324"/>
    <cellStyle name="Финансовый 2 3 4 3 2 4 2" xfId="2938"/>
    <cellStyle name="Финансовый 2 3 4 3 2 5" xfId="1860"/>
    <cellStyle name="Финансовый 2 3 4 3 3" xfId="381"/>
    <cellStyle name="Финансовый 2 3 4 3 3 2" xfId="924"/>
    <cellStyle name="Финансовый 2 3 4 3 3 2 2" xfId="2538"/>
    <cellStyle name="Финансовый 2 3 4 3 3 3" xfId="1460"/>
    <cellStyle name="Финансовый 2 3 4 3 3 3 2" xfId="3074"/>
    <cellStyle name="Финансовый 2 3 4 3 3 4" xfId="1996"/>
    <cellStyle name="Финансовый 2 3 4 3 4" xfId="655"/>
    <cellStyle name="Финансовый 2 3 4 3 4 2" xfId="2269"/>
    <cellStyle name="Финансовый 2 3 4 3 5" xfId="1192"/>
    <cellStyle name="Финансовый 2 3 4 3 5 2" xfId="2806"/>
    <cellStyle name="Финансовый 2 3 4 3 6" xfId="1728"/>
    <cellStyle name="Финансовый 2 3 4 4" xfId="199"/>
    <cellStyle name="Финансовый 2 3 4 4 2" xfId="469"/>
    <cellStyle name="Финансовый 2 3 4 4 2 2" xfId="1012"/>
    <cellStyle name="Финансовый 2 3 4 4 2 2 2" xfId="2626"/>
    <cellStyle name="Финансовый 2 3 4 4 2 3" xfId="1548"/>
    <cellStyle name="Финансовый 2 3 4 4 2 3 2" xfId="3162"/>
    <cellStyle name="Финансовый 2 3 4 4 2 4" xfId="2084"/>
    <cellStyle name="Финансовый 2 3 4 4 3" xfId="744"/>
    <cellStyle name="Финансовый 2 3 4 4 3 2" xfId="2358"/>
    <cellStyle name="Финансовый 2 3 4 4 4" xfId="1280"/>
    <cellStyle name="Финансовый 2 3 4 4 4 2" xfId="2894"/>
    <cellStyle name="Финансовый 2 3 4 4 5" xfId="1816"/>
    <cellStyle name="Финансовый 2 3 4 5" xfId="337"/>
    <cellStyle name="Финансовый 2 3 4 5 2" xfId="880"/>
    <cellStyle name="Финансовый 2 3 4 5 2 2" xfId="2494"/>
    <cellStyle name="Финансовый 2 3 4 5 3" xfId="1416"/>
    <cellStyle name="Финансовый 2 3 4 5 3 2" xfId="3030"/>
    <cellStyle name="Финансовый 2 3 4 5 4" xfId="1952"/>
    <cellStyle name="Финансовый 2 3 4 6" xfId="610"/>
    <cellStyle name="Финансовый 2 3 4 6 2" xfId="2224"/>
    <cellStyle name="Финансовый 2 3 4 7" xfId="1148"/>
    <cellStyle name="Финансовый 2 3 4 7 2" xfId="2762"/>
    <cellStyle name="Финансовый 2 3 4 8" xfId="1684"/>
    <cellStyle name="Финансовый 2 3 5" xfId="122"/>
    <cellStyle name="Финансовый 2 3 5 2" xfId="263"/>
    <cellStyle name="Финансовый 2 3 5 2 2" xfId="532"/>
    <cellStyle name="Финансовый 2 3 5 2 2 2" xfId="1075"/>
    <cellStyle name="Финансовый 2 3 5 2 2 2 2" xfId="2689"/>
    <cellStyle name="Финансовый 2 3 5 2 2 3" xfId="1611"/>
    <cellStyle name="Финансовый 2 3 5 2 2 3 2" xfId="3225"/>
    <cellStyle name="Финансовый 2 3 5 2 2 4" xfId="2147"/>
    <cellStyle name="Финансовый 2 3 5 2 3" xfId="807"/>
    <cellStyle name="Финансовый 2 3 5 2 3 2" xfId="2421"/>
    <cellStyle name="Финансовый 2 3 5 2 4" xfId="1343"/>
    <cellStyle name="Финансовый 2 3 5 2 4 2" xfId="2957"/>
    <cellStyle name="Финансовый 2 3 5 2 5" xfId="1879"/>
    <cellStyle name="Финансовый 2 3 5 3" xfId="400"/>
    <cellStyle name="Финансовый 2 3 5 3 2" xfId="943"/>
    <cellStyle name="Финансовый 2 3 5 3 2 2" xfId="2557"/>
    <cellStyle name="Финансовый 2 3 5 3 3" xfId="1479"/>
    <cellStyle name="Финансовый 2 3 5 3 3 2" xfId="3093"/>
    <cellStyle name="Финансовый 2 3 5 3 4" xfId="2015"/>
    <cellStyle name="Финансовый 2 3 5 4" xfId="674"/>
    <cellStyle name="Финансовый 2 3 5 4 2" xfId="2288"/>
    <cellStyle name="Финансовый 2 3 5 5" xfId="1211"/>
    <cellStyle name="Финансовый 2 3 5 5 2" xfId="2825"/>
    <cellStyle name="Финансовый 2 3 5 6" xfId="1747"/>
    <cellStyle name="Финансовый 2 3 6" xfId="74"/>
    <cellStyle name="Финансовый 2 3 6 2" xfId="218"/>
    <cellStyle name="Финансовый 2 3 6 2 2" xfId="488"/>
    <cellStyle name="Финансовый 2 3 6 2 2 2" xfId="1031"/>
    <cellStyle name="Финансовый 2 3 6 2 2 2 2" xfId="2645"/>
    <cellStyle name="Финансовый 2 3 6 2 2 3" xfId="1567"/>
    <cellStyle name="Финансовый 2 3 6 2 2 3 2" xfId="3181"/>
    <cellStyle name="Финансовый 2 3 6 2 2 4" xfId="2103"/>
    <cellStyle name="Финансовый 2 3 6 2 3" xfId="763"/>
    <cellStyle name="Финансовый 2 3 6 2 3 2" xfId="2377"/>
    <cellStyle name="Финансовый 2 3 6 2 4" xfId="1299"/>
    <cellStyle name="Финансовый 2 3 6 2 4 2" xfId="2913"/>
    <cellStyle name="Финансовый 2 3 6 2 5" xfId="1835"/>
    <cellStyle name="Финансовый 2 3 6 3" xfId="356"/>
    <cellStyle name="Финансовый 2 3 6 3 2" xfId="899"/>
    <cellStyle name="Финансовый 2 3 6 3 2 2" xfId="2513"/>
    <cellStyle name="Финансовый 2 3 6 3 3" xfId="1435"/>
    <cellStyle name="Финансовый 2 3 6 3 3 2" xfId="3049"/>
    <cellStyle name="Финансовый 2 3 6 3 4" xfId="1971"/>
    <cellStyle name="Финансовый 2 3 6 4" xfId="629"/>
    <cellStyle name="Финансовый 2 3 6 4 2" xfId="2243"/>
    <cellStyle name="Финансовый 2 3 6 5" xfId="1167"/>
    <cellStyle name="Финансовый 2 3 6 5 2" xfId="2781"/>
    <cellStyle name="Финансовый 2 3 6 6" xfId="1703"/>
    <cellStyle name="Финансовый 2 3 7" xfId="172"/>
    <cellStyle name="Финансовый 2 3 7 2" xfId="444"/>
    <cellStyle name="Финансовый 2 3 7 2 2" xfId="987"/>
    <cellStyle name="Финансовый 2 3 7 2 2 2" xfId="2601"/>
    <cellStyle name="Финансовый 2 3 7 2 3" xfId="1523"/>
    <cellStyle name="Финансовый 2 3 7 2 3 2" xfId="3137"/>
    <cellStyle name="Финансовый 2 3 7 2 4" xfId="2059"/>
    <cellStyle name="Финансовый 2 3 7 3" xfId="719"/>
    <cellStyle name="Финансовый 2 3 7 3 2" xfId="2333"/>
    <cellStyle name="Финансовый 2 3 7 4" xfId="1255"/>
    <cellStyle name="Финансовый 2 3 7 4 2" xfId="2869"/>
    <cellStyle name="Финансовый 2 3 7 5" xfId="1791"/>
    <cellStyle name="Финансовый 2 3 8" xfId="303"/>
    <cellStyle name="Финансовый 2 3 8 2" xfId="571"/>
    <cellStyle name="Финансовый 2 3 8 2 2" xfId="1114"/>
    <cellStyle name="Финансовый 2 3 8 2 2 2" xfId="2728"/>
    <cellStyle name="Финансовый 2 3 8 2 3" xfId="1650"/>
    <cellStyle name="Финансовый 2 3 8 2 3 2" xfId="3264"/>
    <cellStyle name="Финансовый 2 3 8 2 4" xfId="2186"/>
    <cellStyle name="Финансовый 2 3 8 3" xfId="846"/>
    <cellStyle name="Финансовый 2 3 8 3 2" xfId="2460"/>
    <cellStyle name="Финансовый 2 3 8 4" xfId="1382"/>
    <cellStyle name="Финансовый 2 3 8 4 2" xfId="2996"/>
    <cellStyle name="Финансовый 2 3 8 5" xfId="1918"/>
    <cellStyle name="Финансовый 2 3 9" xfId="305"/>
    <cellStyle name="Финансовый 2 3 9 2" xfId="573"/>
    <cellStyle name="Финансовый 2 3 9 2 2" xfId="1116"/>
    <cellStyle name="Финансовый 2 3 9 2 2 2" xfId="2730"/>
    <cellStyle name="Финансовый 2 3 9 2 3" xfId="1652"/>
    <cellStyle name="Финансовый 2 3 9 2 3 2" xfId="3266"/>
    <cellStyle name="Финансовый 2 3 9 2 4" xfId="2188"/>
    <cellStyle name="Финансовый 2 3 9 3" xfId="848"/>
    <cellStyle name="Финансовый 2 3 9 3 2" xfId="2462"/>
    <cellStyle name="Финансовый 2 3 9 4" xfId="1384"/>
    <cellStyle name="Финансовый 2 3 9 4 2" xfId="2998"/>
    <cellStyle name="Финансовый 2 3 9 5" xfId="1920"/>
    <cellStyle name="Финансовый 2 4" xfId="42"/>
    <cellStyle name="Финансовый 2 4 2" xfId="60"/>
    <cellStyle name="Финансовый 2 4 2 2" xfId="155"/>
    <cellStyle name="Финансовый 2 4 2 2 2" xfId="294"/>
    <cellStyle name="Финансовый 2 4 2 2 2 2" xfId="562"/>
    <cellStyle name="Финансовый 2 4 2 2 2 2 2" xfId="1105"/>
    <cellStyle name="Финансовый 2 4 2 2 2 2 2 2" xfId="2719"/>
    <cellStyle name="Финансовый 2 4 2 2 2 2 3" xfId="1641"/>
    <cellStyle name="Финансовый 2 4 2 2 2 2 3 2" xfId="3255"/>
    <cellStyle name="Финансовый 2 4 2 2 2 2 4" xfId="2177"/>
    <cellStyle name="Финансовый 2 4 2 2 2 3" xfId="837"/>
    <cellStyle name="Финансовый 2 4 2 2 2 3 2" xfId="2451"/>
    <cellStyle name="Финансовый 2 4 2 2 2 4" xfId="1373"/>
    <cellStyle name="Финансовый 2 4 2 2 2 4 2" xfId="2987"/>
    <cellStyle name="Финансовый 2 4 2 2 2 5" xfId="1909"/>
    <cellStyle name="Финансовый 2 4 2 2 3" xfId="430"/>
    <cellStyle name="Финансовый 2 4 2 2 3 2" xfId="973"/>
    <cellStyle name="Финансовый 2 4 2 2 3 2 2" xfId="2587"/>
    <cellStyle name="Финансовый 2 4 2 2 3 3" xfId="1509"/>
    <cellStyle name="Финансовый 2 4 2 2 3 3 2" xfId="3123"/>
    <cellStyle name="Финансовый 2 4 2 2 3 4" xfId="2045"/>
    <cellStyle name="Финансовый 2 4 2 2 4" xfId="705"/>
    <cellStyle name="Финансовый 2 4 2 2 4 2" xfId="2319"/>
    <cellStyle name="Финансовый 2 4 2 2 5" xfId="1241"/>
    <cellStyle name="Финансовый 2 4 2 2 5 2" xfId="2855"/>
    <cellStyle name="Финансовый 2 4 2 2 6" xfId="1777"/>
    <cellStyle name="Финансовый 2 4 2 3" xfId="107"/>
    <cellStyle name="Финансовый 2 4 2 3 2" xfId="249"/>
    <cellStyle name="Финансовый 2 4 2 3 2 2" xfId="518"/>
    <cellStyle name="Финансовый 2 4 2 3 2 2 2" xfId="1061"/>
    <cellStyle name="Финансовый 2 4 2 3 2 2 2 2" xfId="2675"/>
    <cellStyle name="Финансовый 2 4 2 3 2 2 3" xfId="1597"/>
    <cellStyle name="Финансовый 2 4 2 3 2 2 3 2" xfId="3211"/>
    <cellStyle name="Финансовый 2 4 2 3 2 2 4" xfId="2133"/>
    <cellStyle name="Финансовый 2 4 2 3 2 3" xfId="793"/>
    <cellStyle name="Финансовый 2 4 2 3 2 3 2" xfId="2407"/>
    <cellStyle name="Финансовый 2 4 2 3 2 4" xfId="1329"/>
    <cellStyle name="Финансовый 2 4 2 3 2 4 2" xfId="2943"/>
    <cellStyle name="Финансовый 2 4 2 3 2 5" xfId="1865"/>
    <cellStyle name="Финансовый 2 4 2 3 3" xfId="386"/>
    <cellStyle name="Финансовый 2 4 2 3 3 2" xfId="929"/>
    <cellStyle name="Финансовый 2 4 2 3 3 2 2" xfId="2543"/>
    <cellStyle name="Финансовый 2 4 2 3 3 3" xfId="1465"/>
    <cellStyle name="Финансовый 2 4 2 3 3 3 2" xfId="3079"/>
    <cellStyle name="Финансовый 2 4 2 3 3 4" xfId="2001"/>
    <cellStyle name="Финансовый 2 4 2 3 4" xfId="660"/>
    <cellStyle name="Финансовый 2 4 2 3 4 2" xfId="2274"/>
    <cellStyle name="Финансовый 2 4 2 3 5" xfId="1197"/>
    <cellStyle name="Финансовый 2 4 2 3 5 2" xfId="2811"/>
    <cellStyle name="Финансовый 2 4 2 3 6" xfId="1733"/>
    <cellStyle name="Финансовый 2 4 2 4" xfId="204"/>
    <cellStyle name="Финансовый 2 4 2 4 2" xfId="474"/>
    <cellStyle name="Финансовый 2 4 2 4 2 2" xfId="1017"/>
    <cellStyle name="Финансовый 2 4 2 4 2 2 2" xfId="2631"/>
    <cellStyle name="Финансовый 2 4 2 4 2 3" xfId="1553"/>
    <cellStyle name="Финансовый 2 4 2 4 2 3 2" xfId="3167"/>
    <cellStyle name="Финансовый 2 4 2 4 2 4" xfId="2089"/>
    <cellStyle name="Финансовый 2 4 2 4 3" xfId="749"/>
    <cellStyle name="Финансовый 2 4 2 4 3 2" xfId="2363"/>
    <cellStyle name="Финансовый 2 4 2 4 4" xfId="1285"/>
    <cellStyle name="Финансовый 2 4 2 4 4 2" xfId="2899"/>
    <cellStyle name="Финансовый 2 4 2 4 5" xfId="1821"/>
    <cellStyle name="Финансовый 2 4 2 5" xfId="342"/>
    <cellStyle name="Финансовый 2 4 2 5 2" xfId="885"/>
    <cellStyle name="Финансовый 2 4 2 5 2 2" xfId="2499"/>
    <cellStyle name="Финансовый 2 4 2 5 3" xfId="1421"/>
    <cellStyle name="Финансовый 2 4 2 5 3 2" xfId="3035"/>
    <cellStyle name="Финансовый 2 4 2 5 4" xfId="1957"/>
    <cellStyle name="Финансовый 2 4 2 6" xfId="615"/>
    <cellStyle name="Финансовый 2 4 2 6 2" xfId="2229"/>
    <cellStyle name="Финансовый 2 4 2 7" xfId="1153"/>
    <cellStyle name="Финансовый 2 4 2 7 2" xfId="2767"/>
    <cellStyle name="Финансовый 2 4 2 8" xfId="1689"/>
    <cellStyle name="Финансовый 2 4 3" xfId="137"/>
    <cellStyle name="Финансовый 2 4 3 2" xfId="276"/>
    <cellStyle name="Финансовый 2 4 3 2 2" xfId="544"/>
    <cellStyle name="Финансовый 2 4 3 2 2 2" xfId="1087"/>
    <cellStyle name="Финансовый 2 4 3 2 2 2 2" xfId="2701"/>
    <cellStyle name="Финансовый 2 4 3 2 2 3" xfId="1623"/>
    <cellStyle name="Финансовый 2 4 3 2 2 3 2" xfId="3237"/>
    <cellStyle name="Финансовый 2 4 3 2 2 4" xfId="2159"/>
    <cellStyle name="Финансовый 2 4 3 2 3" xfId="819"/>
    <cellStyle name="Финансовый 2 4 3 2 3 2" xfId="2433"/>
    <cellStyle name="Финансовый 2 4 3 2 4" xfId="1355"/>
    <cellStyle name="Финансовый 2 4 3 2 4 2" xfId="2969"/>
    <cellStyle name="Финансовый 2 4 3 2 5" xfId="1891"/>
    <cellStyle name="Финансовый 2 4 3 3" xfId="412"/>
    <cellStyle name="Финансовый 2 4 3 3 2" xfId="955"/>
    <cellStyle name="Финансовый 2 4 3 3 2 2" xfId="2569"/>
    <cellStyle name="Финансовый 2 4 3 3 3" xfId="1491"/>
    <cellStyle name="Финансовый 2 4 3 3 3 2" xfId="3105"/>
    <cellStyle name="Финансовый 2 4 3 3 4" xfId="2027"/>
    <cellStyle name="Финансовый 2 4 3 4" xfId="687"/>
    <cellStyle name="Финансовый 2 4 3 4 2" xfId="2301"/>
    <cellStyle name="Финансовый 2 4 3 5" xfId="1223"/>
    <cellStyle name="Финансовый 2 4 3 5 2" xfId="2837"/>
    <cellStyle name="Финансовый 2 4 3 6" xfId="1759"/>
    <cellStyle name="Финансовый 2 4 4" xfId="89"/>
    <cellStyle name="Финансовый 2 4 4 2" xfId="231"/>
    <cellStyle name="Финансовый 2 4 4 2 2" xfId="500"/>
    <cellStyle name="Финансовый 2 4 4 2 2 2" xfId="1043"/>
    <cellStyle name="Финансовый 2 4 4 2 2 2 2" xfId="2657"/>
    <cellStyle name="Финансовый 2 4 4 2 2 3" xfId="1579"/>
    <cellStyle name="Финансовый 2 4 4 2 2 3 2" xfId="3193"/>
    <cellStyle name="Финансовый 2 4 4 2 2 4" xfId="2115"/>
    <cellStyle name="Финансовый 2 4 4 2 3" xfId="775"/>
    <cellStyle name="Финансовый 2 4 4 2 3 2" xfId="2389"/>
    <cellStyle name="Финансовый 2 4 4 2 4" xfId="1311"/>
    <cellStyle name="Финансовый 2 4 4 2 4 2" xfId="2925"/>
    <cellStyle name="Финансовый 2 4 4 2 5" xfId="1847"/>
    <cellStyle name="Финансовый 2 4 4 3" xfId="368"/>
    <cellStyle name="Финансовый 2 4 4 3 2" xfId="911"/>
    <cellStyle name="Финансовый 2 4 4 3 2 2" xfId="2525"/>
    <cellStyle name="Финансовый 2 4 4 3 3" xfId="1447"/>
    <cellStyle name="Финансовый 2 4 4 3 3 2" xfId="3061"/>
    <cellStyle name="Финансовый 2 4 4 3 4" xfId="1983"/>
    <cellStyle name="Финансовый 2 4 4 4" xfId="642"/>
    <cellStyle name="Финансовый 2 4 4 4 2" xfId="2256"/>
    <cellStyle name="Финансовый 2 4 4 5" xfId="1179"/>
    <cellStyle name="Финансовый 2 4 4 5 2" xfId="2793"/>
    <cellStyle name="Финансовый 2 4 4 6" xfId="1715"/>
    <cellStyle name="Финансовый 2 4 5" xfId="186"/>
    <cellStyle name="Финансовый 2 4 5 2" xfId="456"/>
    <cellStyle name="Финансовый 2 4 5 2 2" xfId="999"/>
    <cellStyle name="Финансовый 2 4 5 2 2 2" xfId="2613"/>
    <cellStyle name="Финансовый 2 4 5 2 3" xfId="1535"/>
    <cellStyle name="Финансовый 2 4 5 2 3 2" xfId="3149"/>
    <cellStyle name="Финансовый 2 4 5 2 4" xfId="2071"/>
    <cellStyle name="Финансовый 2 4 5 3" xfId="731"/>
    <cellStyle name="Финансовый 2 4 5 3 2" xfId="2345"/>
    <cellStyle name="Финансовый 2 4 5 4" xfId="1267"/>
    <cellStyle name="Финансовый 2 4 5 4 2" xfId="2881"/>
    <cellStyle name="Финансовый 2 4 5 5" xfId="1803"/>
    <cellStyle name="Финансовый 2 4 6" xfId="324"/>
    <cellStyle name="Финансовый 2 4 6 2" xfId="867"/>
    <cellStyle name="Финансовый 2 4 6 2 2" xfId="2481"/>
    <cellStyle name="Финансовый 2 4 6 3" xfId="1403"/>
    <cellStyle name="Финансовый 2 4 6 3 2" xfId="3017"/>
    <cellStyle name="Финансовый 2 4 6 4" xfId="1939"/>
    <cellStyle name="Финансовый 2 4 7" xfId="597"/>
    <cellStyle name="Финансовый 2 4 7 2" xfId="2211"/>
    <cellStyle name="Финансовый 2 4 8" xfId="1135"/>
    <cellStyle name="Финансовый 2 4 8 2" xfId="2749"/>
    <cellStyle name="Финансовый 2 4 9" xfId="1671"/>
    <cellStyle name="Финансовый 2 5" xfId="31"/>
    <cellStyle name="Финансовый 2 5 2" xfId="126"/>
    <cellStyle name="Финансовый 2 5 2 2" xfId="267"/>
    <cellStyle name="Финансовый 2 5 2 2 2" xfId="536"/>
    <cellStyle name="Финансовый 2 5 2 2 2 2" xfId="1079"/>
    <cellStyle name="Финансовый 2 5 2 2 2 2 2" xfId="2693"/>
    <cellStyle name="Финансовый 2 5 2 2 2 3" xfId="1615"/>
    <cellStyle name="Финансовый 2 5 2 2 2 3 2" xfId="3229"/>
    <cellStyle name="Финансовый 2 5 2 2 2 4" xfId="2151"/>
    <cellStyle name="Финансовый 2 5 2 2 3" xfId="811"/>
    <cellStyle name="Финансовый 2 5 2 2 3 2" xfId="2425"/>
    <cellStyle name="Финансовый 2 5 2 2 4" xfId="1347"/>
    <cellStyle name="Финансовый 2 5 2 2 4 2" xfId="2961"/>
    <cellStyle name="Финансовый 2 5 2 2 5" xfId="1883"/>
    <cellStyle name="Финансовый 2 5 2 3" xfId="404"/>
    <cellStyle name="Финансовый 2 5 2 3 2" xfId="947"/>
    <cellStyle name="Финансовый 2 5 2 3 2 2" xfId="2561"/>
    <cellStyle name="Финансовый 2 5 2 3 3" xfId="1483"/>
    <cellStyle name="Финансовый 2 5 2 3 3 2" xfId="3097"/>
    <cellStyle name="Финансовый 2 5 2 3 4" xfId="2019"/>
    <cellStyle name="Финансовый 2 5 2 4" xfId="678"/>
    <cellStyle name="Финансовый 2 5 2 4 2" xfId="2292"/>
    <cellStyle name="Финансовый 2 5 2 5" xfId="1215"/>
    <cellStyle name="Финансовый 2 5 2 5 2" xfId="2829"/>
    <cellStyle name="Финансовый 2 5 2 6" xfId="1751"/>
    <cellStyle name="Финансовый 2 5 3" xfId="78"/>
    <cellStyle name="Финансовый 2 5 3 2" xfId="222"/>
    <cellStyle name="Финансовый 2 5 3 2 2" xfId="492"/>
    <cellStyle name="Финансовый 2 5 3 2 2 2" xfId="1035"/>
    <cellStyle name="Финансовый 2 5 3 2 2 2 2" xfId="2649"/>
    <cellStyle name="Финансовый 2 5 3 2 2 3" xfId="1571"/>
    <cellStyle name="Финансовый 2 5 3 2 2 3 2" xfId="3185"/>
    <cellStyle name="Финансовый 2 5 3 2 2 4" xfId="2107"/>
    <cellStyle name="Финансовый 2 5 3 2 3" xfId="767"/>
    <cellStyle name="Финансовый 2 5 3 2 3 2" xfId="2381"/>
    <cellStyle name="Финансовый 2 5 3 2 4" xfId="1303"/>
    <cellStyle name="Финансовый 2 5 3 2 4 2" xfId="2917"/>
    <cellStyle name="Финансовый 2 5 3 2 5" xfId="1839"/>
    <cellStyle name="Финансовый 2 5 3 3" xfId="360"/>
    <cellStyle name="Финансовый 2 5 3 3 2" xfId="903"/>
    <cellStyle name="Финансовый 2 5 3 3 2 2" xfId="2517"/>
    <cellStyle name="Финансовый 2 5 3 3 3" xfId="1439"/>
    <cellStyle name="Финансовый 2 5 3 3 3 2" xfId="3053"/>
    <cellStyle name="Финансовый 2 5 3 3 4" xfId="1975"/>
    <cellStyle name="Финансовый 2 5 3 4" xfId="633"/>
    <cellStyle name="Финансовый 2 5 3 4 2" xfId="2247"/>
    <cellStyle name="Финансовый 2 5 3 5" xfId="1171"/>
    <cellStyle name="Финансовый 2 5 3 5 2" xfId="2785"/>
    <cellStyle name="Финансовый 2 5 3 6" xfId="1707"/>
    <cellStyle name="Финансовый 2 5 4" xfId="177"/>
    <cellStyle name="Финансовый 2 5 4 2" xfId="448"/>
    <cellStyle name="Финансовый 2 5 4 2 2" xfId="991"/>
    <cellStyle name="Финансовый 2 5 4 2 2 2" xfId="2605"/>
    <cellStyle name="Финансовый 2 5 4 2 3" xfId="1527"/>
    <cellStyle name="Финансовый 2 5 4 2 3 2" xfId="3141"/>
    <cellStyle name="Финансовый 2 5 4 2 4" xfId="2063"/>
    <cellStyle name="Финансовый 2 5 4 3" xfId="723"/>
    <cellStyle name="Финансовый 2 5 4 3 2" xfId="2337"/>
    <cellStyle name="Финансовый 2 5 4 4" xfId="1259"/>
    <cellStyle name="Финансовый 2 5 4 4 2" xfId="2873"/>
    <cellStyle name="Финансовый 2 5 4 5" xfId="1795"/>
    <cellStyle name="Финансовый 2 5 5" xfId="316"/>
    <cellStyle name="Финансовый 2 5 5 2" xfId="859"/>
    <cellStyle name="Финансовый 2 5 5 2 2" xfId="2473"/>
    <cellStyle name="Финансовый 2 5 5 3" xfId="1395"/>
    <cellStyle name="Финансовый 2 5 5 3 2" xfId="3009"/>
    <cellStyle name="Финансовый 2 5 5 4" xfId="1931"/>
    <cellStyle name="Финансовый 2 5 6" xfId="588"/>
    <cellStyle name="Финансовый 2 5 6 2" xfId="2202"/>
    <cellStyle name="Финансовый 2 5 7" xfId="1127"/>
    <cellStyle name="Финансовый 2 5 7 2" xfId="2741"/>
    <cellStyle name="Финансовый 2 5 8" xfId="1663"/>
    <cellStyle name="Финансовый 2 6" xfId="51"/>
    <cellStyle name="Финансовый 2 6 2" xfId="146"/>
    <cellStyle name="Финансовый 2 6 2 2" xfId="285"/>
    <cellStyle name="Финансовый 2 6 2 2 2" xfId="553"/>
    <cellStyle name="Финансовый 2 6 2 2 2 2" xfId="1096"/>
    <cellStyle name="Финансовый 2 6 2 2 2 2 2" xfId="2710"/>
    <cellStyle name="Финансовый 2 6 2 2 2 3" xfId="1632"/>
    <cellStyle name="Финансовый 2 6 2 2 2 3 2" xfId="3246"/>
    <cellStyle name="Финансовый 2 6 2 2 2 4" xfId="2168"/>
    <cellStyle name="Финансовый 2 6 2 2 3" xfId="828"/>
    <cellStyle name="Финансовый 2 6 2 2 3 2" xfId="2442"/>
    <cellStyle name="Финансовый 2 6 2 2 4" xfId="1364"/>
    <cellStyle name="Финансовый 2 6 2 2 4 2" xfId="2978"/>
    <cellStyle name="Финансовый 2 6 2 2 5" xfId="1900"/>
    <cellStyle name="Финансовый 2 6 2 3" xfId="421"/>
    <cellStyle name="Финансовый 2 6 2 3 2" xfId="964"/>
    <cellStyle name="Финансовый 2 6 2 3 2 2" xfId="2578"/>
    <cellStyle name="Финансовый 2 6 2 3 3" xfId="1500"/>
    <cellStyle name="Финансовый 2 6 2 3 3 2" xfId="3114"/>
    <cellStyle name="Финансовый 2 6 2 3 4" xfId="2036"/>
    <cellStyle name="Финансовый 2 6 2 4" xfId="696"/>
    <cellStyle name="Финансовый 2 6 2 4 2" xfId="2310"/>
    <cellStyle name="Финансовый 2 6 2 5" xfId="1232"/>
    <cellStyle name="Финансовый 2 6 2 5 2" xfId="2846"/>
    <cellStyle name="Финансовый 2 6 2 6" xfId="1768"/>
    <cellStyle name="Финансовый 2 6 3" xfId="98"/>
    <cellStyle name="Финансовый 2 6 3 2" xfId="240"/>
    <cellStyle name="Финансовый 2 6 3 2 2" xfId="509"/>
    <cellStyle name="Финансовый 2 6 3 2 2 2" xfId="1052"/>
    <cellStyle name="Финансовый 2 6 3 2 2 2 2" xfId="2666"/>
    <cellStyle name="Финансовый 2 6 3 2 2 3" xfId="1588"/>
    <cellStyle name="Финансовый 2 6 3 2 2 3 2" xfId="3202"/>
    <cellStyle name="Финансовый 2 6 3 2 2 4" xfId="2124"/>
    <cellStyle name="Финансовый 2 6 3 2 3" xfId="784"/>
    <cellStyle name="Финансовый 2 6 3 2 3 2" xfId="2398"/>
    <cellStyle name="Финансовый 2 6 3 2 4" xfId="1320"/>
    <cellStyle name="Финансовый 2 6 3 2 4 2" xfId="2934"/>
    <cellStyle name="Финансовый 2 6 3 2 5" xfId="1856"/>
    <cellStyle name="Финансовый 2 6 3 3" xfId="377"/>
    <cellStyle name="Финансовый 2 6 3 3 2" xfId="920"/>
    <cellStyle name="Финансовый 2 6 3 3 2 2" xfId="2534"/>
    <cellStyle name="Финансовый 2 6 3 3 3" xfId="1456"/>
    <cellStyle name="Финансовый 2 6 3 3 3 2" xfId="3070"/>
    <cellStyle name="Финансовый 2 6 3 3 4" xfId="1992"/>
    <cellStyle name="Финансовый 2 6 3 4" xfId="651"/>
    <cellStyle name="Финансовый 2 6 3 4 2" xfId="2265"/>
    <cellStyle name="Финансовый 2 6 3 5" xfId="1188"/>
    <cellStyle name="Финансовый 2 6 3 5 2" xfId="2802"/>
    <cellStyle name="Финансовый 2 6 3 6" xfId="1724"/>
    <cellStyle name="Финансовый 2 6 4" xfId="195"/>
    <cellStyle name="Финансовый 2 6 4 2" xfId="465"/>
    <cellStyle name="Финансовый 2 6 4 2 2" xfId="1008"/>
    <cellStyle name="Финансовый 2 6 4 2 2 2" xfId="2622"/>
    <cellStyle name="Финансовый 2 6 4 2 3" xfId="1544"/>
    <cellStyle name="Финансовый 2 6 4 2 3 2" xfId="3158"/>
    <cellStyle name="Финансовый 2 6 4 2 4" xfId="2080"/>
    <cellStyle name="Финансовый 2 6 4 3" xfId="740"/>
    <cellStyle name="Финансовый 2 6 4 3 2" xfId="2354"/>
    <cellStyle name="Финансовый 2 6 4 4" xfId="1276"/>
    <cellStyle name="Финансовый 2 6 4 4 2" xfId="2890"/>
    <cellStyle name="Финансовый 2 6 4 5" xfId="1812"/>
    <cellStyle name="Финансовый 2 6 5" xfId="333"/>
    <cellStyle name="Финансовый 2 6 5 2" xfId="876"/>
    <cellStyle name="Финансовый 2 6 5 2 2" xfId="2490"/>
    <cellStyle name="Финансовый 2 6 5 3" xfId="1412"/>
    <cellStyle name="Финансовый 2 6 5 3 2" xfId="3026"/>
    <cellStyle name="Финансовый 2 6 5 4" xfId="1948"/>
    <cellStyle name="Финансовый 2 6 6" xfId="606"/>
    <cellStyle name="Финансовый 2 6 6 2" xfId="2220"/>
    <cellStyle name="Финансовый 2 6 7" xfId="1144"/>
    <cellStyle name="Финансовый 2 6 7 2" xfId="2758"/>
    <cellStyle name="Финансовый 2 6 8" xfId="1680"/>
    <cellStyle name="Финансовый 2 7" xfId="117"/>
    <cellStyle name="Финансовый 2 7 2" xfId="258"/>
    <cellStyle name="Финансовый 2 7 2 2" xfId="527"/>
    <cellStyle name="Финансовый 2 7 2 2 2" xfId="1070"/>
    <cellStyle name="Финансовый 2 7 2 2 2 2" xfId="2684"/>
    <cellStyle name="Финансовый 2 7 2 2 3" xfId="1606"/>
    <cellStyle name="Финансовый 2 7 2 2 3 2" xfId="3220"/>
    <cellStyle name="Финансовый 2 7 2 2 4" xfId="2142"/>
    <cellStyle name="Финансовый 2 7 2 3" xfId="802"/>
    <cellStyle name="Финансовый 2 7 2 3 2" xfId="2416"/>
    <cellStyle name="Финансовый 2 7 2 4" xfId="1338"/>
    <cellStyle name="Финансовый 2 7 2 4 2" xfId="2952"/>
    <cellStyle name="Финансовый 2 7 2 5" xfId="1874"/>
    <cellStyle name="Финансовый 2 7 3" xfId="395"/>
    <cellStyle name="Финансовый 2 7 3 2" xfId="938"/>
    <cellStyle name="Финансовый 2 7 3 2 2" xfId="2552"/>
    <cellStyle name="Финансовый 2 7 3 3" xfId="1474"/>
    <cellStyle name="Финансовый 2 7 3 3 2" xfId="3088"/>
    <cellStyle name="Финансовый 2 7 3 4" xfId="2010"/>
    <cellStyle name="Финансовый 2 7 4" xfId="669"/>
    <cellStyle name="Финансовый 2 7 4 2" xfId="2283"/>
    <cellStyle name="Финансовый 2 7 5" xfId="1206"/>
    <cellStyle name="Финансовый 2 7 5 2" xfId="2820"/>
    <cellStyle name="Финансовый 2 7 6" xfId="1742"/>
    <cellStyle name="Финансовый 2 8" xfId="69"/>
    <cellStyle name="Финансовый 2 8 2" xfId="213"/>
    <cellStyle name="Финансовый 2 8 2 2" xfId="483"/>
    <cellStyle name="Финансовый 2 8 2 2 2" xfId="1026"/>
    <cellStyle name="Финансовый 2 8 2 2 2 2" xfId="2640"/>
    <cellStyle name="Финансовый 2 8 2 2 3" xfId="1562"/>
    <cellStyle name="Финансовый 2 8 2 2 3 2" xfId="3176"/>
    <cellStyle name="Финансовый 2 8 2 2 4" xfId="2098"/>
    <cellStyle name="Финансовый 2 8 2 3" xfId="758"/>
    <cellStyle name="Финансовый 2 8 2 3 2" xfId="2372"/>
    <cellStyle name="Финансовый 2 8 2 4" xfId="1294"/>
    <cellStyle name="Финансовый 2 8 2 4 2" xfId="2908"/>
    <cellStyle name="Финансовый 2 8 2 5" xfId="1830"/>
    <cellStyle name="Финансовый 2 8 3" xfId="351"/>
    <cellStyle name="Финансовый 2 8 3 2" xfId="894"/>
    <cellStyle name="Финансовый 2 8 3 2 2" xfId="2508"/>
    <cellStyle name="Финансовый 2 8 3 3" xfId="1430"/>
    <cellStyle name="Финансовый 2 8 3 3 2" xfId="3044"/>
    <cellStyle name="Финансовый 2 8 3 4" xfId="1966"/>
    <cellStyle name="Финансовый 2 8 4" xfId="624"/>
    <cellStyle name="Финансовый 2 8 4 2" xfId="2238"/>
    <cellStyle name="Финансовый 2 8 5" xfId="1162"/>
    <cellStyle name="Финансовый 2 8 5 2" xfId="2776"/>
    <cellStyle name="Финансовый 2 8 6" xfId="1698"/>
    <cellStyle name="Финансовый 2 9" xfId="165"/>
    <cellStyle name="Финансовый 2 9 2" xfId="439"/>
    <cellStyle name="Финансовый 2 9 2 2" xfId="982"/>
    <cellStyle name="Финансовый 2 9 2 2 2" xfId="2596"/>
    <cellStyle name="Финансовый 2 9 2 3" xfId="1518"/>
    <cellStyle name="Финансовый 2 9 2 3 2" xfId="3132"/>
    <cellStyle name="Финансовый 2 9 2 4" xfId="2054"/>
    <cellStyle name="Финансовый 2 9 3" xfId="714"/>
    <cellStyle name="Финансовый 2 9 3 2" xfId="2328"/>
    <cellStyle name="Финансовый 2 9 4" xfId="1250"/>
    <cellStyle name="Финансовый 2 9 4 2" xfId="2864"/>
    <cellStyle name="Финансовый 2 9 5" xfId="1786"/>
    <cellStyle name="Финансовый 3" xfId="21"/>
    <cellStyle name="Финансовый 3 2" xfId="29"/>
    <cellStyle name="Финансовый 3 2 2" xfId="175"/>
    <cellStyle name="Финансовый 3 2 3" xfId="586"/>
    <cellStyle name="Финансовый 3 2 3 2" xfId="2200"/>
    <cellStyle name="Финансовый 3 2 3 2 2" xfId="3283"/>
    <cellStyle name="Финансовый 3 2 3 3" xfId="3277"/>
    <cellStyle name="Финансовый 3 2 4" xfId="3271"/>
    <cellStyle name="Финансовый 3 3" xfId="36"/>
    <cellStyle name="Финансовый 3 3 2" xfId="131"/>
    <cellStyle name="Финансовый 3 3 2 2" xfId="270"/>
    <cellStyle name="Финансовый 3 3 2 3" xfId="681"/>
    <cellStyle name="Финансовый 3 3 2 3 2" xfId="2295"/>
    <cellStyle name="Финансовый 3 3 2 3 2 2" xfId="3286"/>
    <cellStyle name="Финансовый 3 3 2 3 3" xfId="3280"/>
    <cellStyle name="Финансовый 3 3 2 4" xfId="3274"/>
    <cellStyle name="Финансовый 3 3 3" xfId="83"/>
    <cellStyle name="Финансовый 3 3 3 2" xfId="225"/>
    <cellStyle name="Финансовый 3 3 3 3" xfId="636"/>
    <cellStyle name="Финансовый 3 3 3 3 2" xfId="2250"/>
    <cellStyle name="Финансовый 3 3 3 3 2 2" xfId="3285"/>
    <cellStyle name="Финансовый 3 3 3 3 3" xfId="3279"/>
    <cellStyle name="Финансовый 3 3 3 4" xfId="3273"/>
    <cellStyle name="Финансовый 3 3 4" xfId="180"/>
    <cellStyle name="Финансовый 3 3 5" xfId="591"/>
    <cellStyle name="Финансовый 3 3 5 2" xfId="2205"/>
    <cellStyle name="Финансовый 3 3 5 2 2" xfId="3284"/>
    <cellStyle name="Финансовый 3 3 5 3" xfId="3278"/>
    <cellStyle name="Финансовый 3 3 6" xfId="3272"/>
    <cellStyle name="Финансовый 3 4" xfId="169"/>
    <cellStyle name="Финансовый 3 5" xfId="580"/>
    <cellStyle name="Финансовый 3 5 2" xfId="2194"/>
    <cellStyle name="Финансовый 3 5 2 2" xfId="3282"/>
    <cellStyle name="Финансовый 3 5 3" xfId="3276"/>
    <cellStyle name="Финансовый 3 6" xfId="3270"/>
    <cellStyle name="Финансовый 4" xfId="19"/>
    <cellStyle name="Финансовый 4 10" xfId="578"/>
    <cellStyle name="Финансовый 4 10 2" xfId="2192"/>
    <cellStyle name="Финансовый 4 11" xfId="1120"/>
    <cellStyle name="Финансовый 4 11 2" xfId="2734"/>
    <cellStyle name="Финансовый 4 12" xfId="1656"/>
    <cellStyle name="Финансовый 4 2" xfId="28"/>
    <cellStyle name="Финансовый 4 2 10" xfId="1125"/>
    <cellStyle name="Финансовый 4 2 10 2" xfId="2739"/>
    <cellStyle name="Финансовый 4 2 11" xfId="1661"/>
    <cellStyle name="Финансовый 4 2 2" xfId="49"/>
    <cellStyle name="Финансовый 4 2 2 2" xfId="67"/>
    <cellStyle name="Финансовый 4 2 2 2 2" xfId="162"/>
    <cellStyle name="Финансовый 4 2 2 2 2 2" xfId="301"/>
    <cellStyle name="Финансовый 4 2 2 2 2 2 2" xfId="569"/>
    <cellStyle name="Финансовый 4 2 2 2 2 2 2 2" xfId="1112"/>
    <cellStyle name="Финансовый 4 2 2 2 2 2 2 2 2" xfId="2726"/>
    <cellStyle name="Финансовый 4 2 2 2 2 2 2 3" xfId="1648"/>
    <cellStyle name="Финансовый 4 2 2 2 2 2 2 3 2" xfId="3262"/>
    <cellStyle name="Финансовый 4 2 2 2 2 2 2 4" xfId="2184"/>
    <cellStyle name="Финансовый 4 2 2 2 2 2 3" xfId="844"/>
    <cellStyle name="Финансовый 4 2 2 2 2 2 3 2" xfId="2458"/>
    <cellStyle name="Финансовый 4 2 2 2 2 2 4" xfId="1380"/>
    <cellStyle name="Финансовый 4 2 2 2 2 2 4 2" xfId="2994"/>
    <cellStyle name="Финансовый 4 2 2 2 2 2 5" xfId="1916"/>
    <cellStyle name="Финансовый 4 2 2 2 2 3" xfId="437"/>
    <cellStyle name="Финансовый 4 2 2 2 2 3 2" xfId="980"/>
    <cellStyle name="Финансовый 4 2 2 2 2 3 2 2" xfId="2594"/>
    <cellStyle name="Финансовый 4 2 2 2 2 3 3" xfId="1516"/>
    <cellStyle name="Финансовый 4 2 2 2 2 3 3 2" xfId="3130"/>
    <cellStyle name="Финансовый 4 2 2 2 2 3 4" xfId="2052"/>
    <cellStyle name="Финансовый 4 2 2 2 2 4" xfId="712"/>
    <cellStyle name="Финансовый 4 2 2 2 2 4 2" xfId="2326"/>
    <cellStyle name="Финансовый 4 2 2 2 2 5" xfId="1248"/>
    <cellStyle name="Финансовый 4 2 2 2 2 5 2" xfId="2862"/>
    <cellStyle name="Финансовый 4 2 2 2 2 6" xfId="1784"/>
    <cellStyle name="Финансовый 4 2 2 2 3" xfId="114"/>
    <cellStyle name="Финансовый 4 2 2 2 3 2" xfId="256"/>
    <cellStyle name="Финансовый 4 2 2 2 3 2 2" xfId="525"/>
    <cellStyle name="Финансовый 4 2 2 2 3 2 2 2" xfId="1068"/>
    <cellStyle name="Финансовый 4 2 2 2 3 2 2 2 2" xfId="2682"/>
    <cellStyle name="Финансовый 4 2 2 2 3 2 2 3" xfId="1604"/>
    <cellStyle name="Финансовый 4 2 2 2 3 2 2 3 2" xfId="3218"/>
    <cellStyle name="Финансовый 4 2 2 2 3 2 2 4" xfId="2140"/>
    <cellStyle name="Финансовый 4 2 2 2 3 2 3" xfId="800"/>
    <cellStyle name="Финансовый 4 2 2 2 3 2 3 2" xfId="2414"/>
    <cellStyle name="Финансовый 4 2 2 2 3 2 4" xfId="1336"/>
    <cellStyle name="Финансовый 4 2 2 2 3 2 4 2" xfId="2950"/>
    <cellStyle name="Финансовый 4 2 2 2 3 2 5" xfId="1872"/>
    <cellStyle name="Финансовый 4 2 2 2 3 3" xfId="393"/>
    <cellStyle name="Финансовый 4 2 2 2 3 3 2" xfId="936"/>
    <cellStyle name="Финансовый 4 2 2 2 3 3 2 2" xfId="2550"/>
    <cellStyle name="Финансовый 4 2 2 2 3 3 3" xfId="1472"/>
    <cellStyle name="Финансовый 4 2 2 2 3 3 3 2" xfId="3086"/>
    <cellStyle name="Финансовый 4 2 2 2 3 3 4" xfId="2008"/>
    <cellStyle name="Финансовый 4 2 2 2 3 4" xfId="667"/>
    <cellStyle name="Финансовый 4 2 2 2 3 4 2" xfId="2281"/>
    <cellStyle name="Финансовый 4 2 2 2 3 5" xfId="1204"/>
    <cellStyle name="Финансовый 4 2 2 2 3 5 2" xfId="2818"/>
    <cellStyle name="Финансовый 4 2 2 2 3 6" xfId="1740"/>
    <cellStyle name="Финансовый 4 2 2 2 4" xfId="211"/>
    <cellStyle name="Финансовый 4 2 2 2 4 2" xfId="481"/>
    <cellStyle name="Финансовый 4 2 2 2 4 2 2" xfId="1024"/>
    <cellStyle name="Финансовый 4 2 2 2 4 2 2 2" xfId="2638"/>
    <cellStyle name="Финансовый 4 2 2 2 4 2 3" xfId="1560"/>
    <cellStyle name="Финансовый 4 2 2 2 4 2 3 2" xfId="3174"/>
    <cellStyle name="Финансовый 4 2 2 2 4 2 4" xfId="2096"/>
    <cellStyle name="Финансовый 4 2 2 2 4 3" xfId="756"/>
    <cellStyle name="Финансовый 4 2 2 2 4 3 2" xfId="2370"/>
    <cellStyle name="Финансовый 4 2 2 2 4 4" xfId="1292"/>
    <cellStyle name="Финансовый 4 2 2 2 4 4 2" xfId="2906"/>
    <cellStyle name="Финансовый 4 2 2 2 4 5" xfId="1828"/>
    <cellStyle name="Финансовый 4 2 2 2 5" xfId="349"/>
    <cellStyle name="Финансовый 4 2 2 2 5 2" xfId="892"/>
    <cellStyle name="Финансовый 4 2 2 2 5 2 2" xfId="2506"/>
    <cellStyle name="Финансовый 4 2 2 2 5 3" xfId="1428"/>
    <cellStyle name="Финансовый 4 2 2 2 5 3 2" xfId="3042"/>
    <cellStyle name="Финансовый 4 2 2 2 5 4" xfId="1964"/>
    <cellStyle name="Финансовый 4 2 2 2 6" xfId="622"/>
    <cellStyle name="Финансовый 4 2 2 2 6 2" xfId="2236"/>
    <cellStyle name="Финансовый 4 2 2 2 7" xfId="1160"/>
    <cellStyle name="Финансовый 4 2 2 2 7 2" xfId="2774"/>
    <cellStyle name="Финансовый 4 2 2 2 8" xfId="1696"/>
    <cellStyle name="Финансовый 4 2 2 3" xfId="144"/>
    <cellStyle name="Финансовый 4 2 2 3 2" xfId="283"/>
    <cellStyle name="Финансовый 4 2 2 3 2 2" xfId="551"/>
    <cellStyle name="Финансовый 4 2 2 3 2 2 2" xfId="1094"/>
    <cellStyle name="Финансовый 4 2 2 3 2 2 2 2" xfId="2708"/>
    <cellStyle name="Финансовый 4 2 2 3 2 2 3" xfId="1630"/>
    <cellStyle name="Финансовый 4 2 2 3 2 2 3 2" xfId="3244"/>
    <cellStyle name="Финансовый 4 2 2 3 2 2 4" xfId="2166"/>
    <cellStyle name="Финансовый 4 2 2 3 2 3" xfId="826"/>
    <cellStyle name="Финансовый 4 2 2 3 2 3 2" xfId="2440"/>
    <cellStyle name="Финансовый 4 2 2 3 2 4" xfId="1362"/>
    <cellStyle name="Финансовый 4 2 2 3 2 4 2" xfId="2976"/>
    <cellStyle name="Финансовый 4 2 2 3 2 5" xfId="1898"/>
    <cellStyle name="Финансовый 4 2 2 3 3" xfId="419"/>
    <cellStyle name="Финансовый 4 2 2 3 3 2" xfId="962"/>
    <cellStyle name="Финансовый 4 2 2 3 3 2 2" xfId="2576"/>
    <cellStyle name="Финансовый 4 2 2 3 3 3" xfId="1498"/>
    <cellStyle name="Финансовый 4 2 2 3 3 3 2" xfId="3112"/>
    <cellStyle name="Финансовый 4 2 2 3 3 4" xfId="2034"/>
    <cellStyle name="Финансовый 4 2 2 3 4" xfId="694"/>
    <cellStyle name="Финансовый 4 2 2 3 4 2" xfId="2308"/>
    <cellStyle name="Финансовый 4 2 2 3 5" xfId="1230"/>
    <cellStyle name="Финансовый 4 2 2 3 5 2" xfId="2844"/>
    <cellStyle name="Финансовый 4 2 2 3 6" xfId="1766"/>
    <cellStyle name="Финансовый 4 2 2 4" xfId="96"/>
    <cellStyle name="Финансовый 4 2 2 4 2" xfId="238"/>
    <cellStyle name="Финансовый 4 2 2 4 2 2" xfId="507"/>
    <cellStyle name="Финансовый 4 2 2 4 2 2 2" xfId="1050"/>
    <cellStyle name="Финансовый 4 2 2 4 2 2 2 2" xfId="2664"/>
    <cellStyle name="Финансовый 4 2 2 4 2 2 3" xfId="1586"/>
    <cellStyle name="Финансовый 4 2 2 4 2 2 3 2" xfId="3200"/>
    <cellStyle name="Финансовый 4 2 2 4 2 2 4" xfId="2122"/>
    <cellStyle name="Финансовый 4 2 2 4 2 3" xfId="782"/>
    <cellStyle name="Финансовый 4 2 2 4 2 3 2" xfId="2396"/>
    <cellStyle name="Финансовый 4 2 2 4 2 4" xfId="1318"/>
    <cellStyle name="Финансовый 4 2 2 4 2 4 2" xfId="2932"/>
    <cellStyle name="Финансовый 4 2 2 4 2 5" xfId="1854"/>
    <cellStyle name="Финансовый 4 2 2 4 3" xfId="375"/>
    <cellStyle name="Финансовый 4 2 2 4 3 2" xfId="918"/>
    <cellStyle name="Финансовый 4 2 2 4 3 2 2" xfId="2532"/>
    <cellStyle name="Финансовый 4 2 2 4 3 3" xfId="1454"/>
    <cellStyle name="Финансовый 4 2 2 4 3 3 2" xfId="3068"/>
    <cellStyle name="Финансовый 4 2 2 4 3 4" xfId="1990"/>
    <cellStyle name="Финансовый 4 2 2 4 4" xfId="649"/>
    <cellStyle name="Финансовый 4 2 2 4 4 2" xfId="2263"/>
    <cellStyle name="Финансовый 4 2 2 4 5" xfId="1186"/>
    <cellStyle name="Финансовый 4 2 2 4 5 2" xfId="2800"/>
    <cellStyle name="Финансовый 4 2 2 4 6" xfId="1722"/>
    <cellStyle name="Финансовый 4 2 2 5" xfId="193"/>
    <cellStyle name="Финансовый 4 2 2 5 2" xfId="463"/>
    <cellStyle name="Финансовый 4 2 2 5 2 2" xfId="1006"/>
    <cellStyle name="Финансовый 4 2 2 5 2 2 2" xfId="2620"/>
    <cellStyle name="Финансовый 4 2 2 5 2 3" xfId="1542"/>
    <cellStyle name="Финансовый 4 2 2 5 2 3 2" xfId="3156"/>
    <cellStyle name="Финансовый 4 2 2 5 2 4" xfId="2078"/>
    <cellStyle name="Финансовый 4 2 2 5 3" xfId="738"/>
    <cellStyle name="Финансовый 4 2 2 5 3 2" xfId="2352"/>
    <cellStyle name="Финансовый 4 2 2 5 4" xfId="1274"/>
    <cellStyle name="Финансовый 4 2 2 5 4 2" xfId="2888"/>
    <cellStyle name="Финансовый 4 2 2 5 5" xfId="1810"/>
    <cellStyle name="Финансовый 4 2 2 6" xfId="331"/>
    <cellStyle name="Финансовый 4 2 2 6 2" xfId="874"/>
    <cellStyle name="Финансовый 4 2 2 6 2 2" xfId="2488"/>
    <cellStyle name="Финансовый 4 2 2 6 3" xfId="1410"/>
    <cellStyle name="Финансовый 4 2 2 6 3 2" xfId="3024"/>
    <cellStyle name="Финансовый 4 2 2 6 4" xfId="1946"/>
    <cellStyle name="Финансовый 4 2 2 7" xfId="604"/>
    <cellStyle name="Финансовый 4 2 2 7 2" xfId="2218"/>
    <cellStyle name="Финансовый 4 2 2 8" xfId="1142"/>
    <cellStyle name="Финансовый 4 2 2 8 2" xfId="2756"/>
    <cellStyle name="Финансовый 4 2 2 9" xfId="1678"/>
    <cellStyle name="Финансовый 4 2 3" xfId="40"/>
    <cellStyle name="Финансовый 4 2 3 2" xfId="135"/>
    <cellStyle name="Финансовый 4 2 3 2 2" xfId="274"/>
    <cellStyle name="Финансовый 4 2 3 2 2 2" xfId="542"/>
    <cellStyle name="Финансовый 4 2 3 2 2 2 2" xfId="1085"/>
    <cellStyle name="Финансовый 4 2 3 2 2 2 2 2" xfId="2699"/>
    <cellStyle name="Финансовый 4 2 3 2 2 2 3" xfId="1621"/>
    <cellStyle name="Финансовый 4 2 3 2 2 2 3 2" xfId="3235"/>
    <cellStyle name="Финансовый 4 2 3 2 2 2 4" xfId="2157"/>
    <cellStyle name="Финансовый 4 2 3 2 2 3" xfId="817"/>
    <cellStyle name="Финансовый 4 2 3 2 2 3 2" xfId="2431"/>
    <cellStyle name="Финансовый 4 2 3 2 2 4" xfId="1353"/>
    <cellStyle name="Финансовый 4 2 3 2 2 4 2" xfId="2967"/>
    <cellStyle name="Финансовый 4 2 3 2 2 5" xfId="1889"/>
    <cellStyle name="Финансовый 4 2 3 2 3" xfId="410"/>
    <cellStyle name="Финансовый 4 2 3 2 3 2" xfId="953"/>
    <cellStyle name="Финансовый 4 2 3 2 3 2 2" xfId="2567"/>
    <cellStyle name="Финансовый 4 2 3 2 3 3" xfId="1489"/>
    <cellStyle name="Финансовый 4 2 3 2 3 3 2" xfId="3103"/>
    <cellStyle name="Финансовый 4 2 3 2 3 4" xfId="2025"/>
    <cellStyle name="Финансовый 4 2 3 2 4" xfId="685"/>
    <cellStyle name="Финансовый 4 2 3 2 4 2" xfId="2299"/>
    <cellStyle name="Финансовый 4 2 3 2 5" xfId="1221"/>
    <cellStyle name="Финансовый 4 2 3 2 5 2" xfId="2835"/>
    <cellStyle name="Финансовый 4 2 3 2 6" xfId="1757"/>
    <cellStyle name="Финансовый 4 2 3 3" xfId="87"/>
    <cellStyle name="Финансовый 4 2 3 3 2" xfId="229"/>
    <cellStyle name="Финансовый 4 2 3 3 2 2" xfId="498"/>
    <cellStyle name="Финансовый 4 2 3 3 2 2 2" xfId="1041"/>
    <cellStyle name="Финансовый 4 2 3 3 2 2 2 2" xfId="2655"/>
    <cellStyle name="Финансовый 4 2 3 3 2 2 3" xfId="1577"/>
    <cellStyle name="Финансовый 4 2 3 3 2 2 3 2" xfId="3191"/>
    <cellStyle name="Финансовый 4 2 3 3 2 2 4" xfId="2113"/>
    <cellStyle name="Финансовый 4 2 3 3 2 3" xfId="773"/>
    <cellStyle name="Финансовый 4 2 3 3 2 3 2" xfId="2387"/>
    <cellStyle name="Финансовый 4 2 3 3 2 4" xfId="1309"/>
    <cellStyle name="Финансовый 4 2 3 3 2 4 2" xfId="2923"/>
    <cellStyle name="Финансовый 4 2 3 3 2 5" xfId="1845"/>
    <cellStyle name="Финансовый 4 2 3 3 3" xfId="366"/>
    <cellStyle name="Финансовый 4 2 3 3 3 2" xfId="909"/>
    <cellStyle name="Финансовый 4 2 3 3 3 2 2" xfId="2523"/>
    <cellStyle name="Финансовый 4 2 3 3 3 3" xfId="1445"/>
    <cellStyle name="Финансовый 4 2 3 3 3 3 2" xfId="3059"/>
    <cellStyle name="Финансовый 4 2 3 3 3 4" xfId="1981"/>
    <cellStyle name="Финансовый 4 2 3 3 4" xfId="640"/>
    <cellStyle name="Финансовый 4 2 3 3 4 2" xfId="2254"/>
    <cellStyle name="Финансовый 4 2 3 3 5" xfId="1177"/>
    <cellStyle name="Финансовый 4 2 3 3 5 2" xfId="2791"/>
    <cellStyle name="Финансовый 4 2 3 3 6" xfId="1713"/>
    <cellStyle name="Финансовый 4 2 3 4" xfId="184"/>
    <cellStyle name="Финансовый 4 2 3 4 2" xfId="454"/>
    <cellStyle name="Финансовый 4 2 3 4 2 2" xfId="997"/>
    <cellStyle name="Финансовый 4 2 3 4 2 2 2" xfId="2611"/>
    <cellStyle name="Финансовый 4 2 3 4 2 3" xfId="1533"/>
    <cellStyle name="Финансовый 4 2 3 4 2 3 2" xfId="3147"/>
    <cellStyle name="Финансовый 4 2 3 4 2 4" xfId="2069"/>
    <cellStyle name="Финансовый 4 2 3 4 3" xfId="729"/>
    <cellStyle name="Финансовый 4 2 3 4 3 2" xfId="2343"/>
    <cellStyle name="Финансовый 4 2 3 4 4" xfId="1265"/>
    <cellStyle name="Финансовый 4 2 3 4 4 2" xfId="2879"/>
    <cellStyle name="Финансовый 4 2 3 4 5" xfId="1801"/>
    <cellStyle name="Финансовый 4 2 3 5" xfId="322"/>
    <cellStyle name="Финансовый 4 2 3 5 2" xfId="865"/>
    <cellStyle name="Финансовый 4 2 3 5 2 2" xfId="2479"/>
    <cellStyle name="Финансовый 4 2 3 5 3" xfId="1401"/>
    <cellStyle name="Финансовый 4 2 3 5 3 2" xfId="3015"/>
    <cellStyle name="Финансовый 4 2 3 5 4" xfId="1937"/>
    <cellStyle name="Финансовый 4 2 3 6" xfId="595"/>
    <cellStyle name="Финансовый 4 2 3 6 2" xfId="2209"/>
    <cellStyle name="Финансовый 4 2 3 7" xfId="1133"/>
    <cellStyle name="Финансовый 4 2 3 7 2" xfId="2747"/>
    <cellStyle name="Финансовый 4 2 3 8" xfId="1669"/>
    <cellStyle name="Финансовый 4 2 4" xfId="57"/>
    <cellStyle name="Финансовый 4 2 4 2" xfId="152"/>
    <cellStyle name="Финансовый 4 2 4 2 2" xfId="291"/>
    <cellStyle name="Финансовый 4 2 4 2 2 2" xfId="559"/>
    <cellStyle name="Финансовый 4 2 4 2 2 2 2" xfId="1102"/>
    <cellStyle name="Финансовый 4 2 4 2 2 2 2 2" xfId="2716"/>
    <cellStyle name="Финансовый 4 2 4 2 2 2 3" xfId="1638"/>
    <cellStyle name="Финансовый 4 2 4 2 2 2 3 2" xfId="3252"/>
    <cellStyle name="Финансовый 4 2 4 2 2 2 4" xfId="2174"/>
    <cellStyle name="Финансовый 4 2 4 2 2 3" xfId="834"/>
    <cellStyle name="Финансовый 4 2 4 2 2 3 2" xfId="2448"/>
    <cellStyle name="Финансовый 4 2 4 2 2 4" xfId="1370"/>
    <cellStyle name="Финансовый 4 2 4 2 2 4 2" xfId="2984"/>
    <cellStyle name="Финансовый 4 2 4 2 2 5" xfId="1906"/>
    <cellStyle name="Финансовый 4 2 4 2 3" xfId="427"/>
    <cellStyle name="Финансовый 4 2 4 2 3 2" xfId="970"/>
    <cellStyle name="Финансовый 4 2 4 2 3 2 2" xfId="2584"/>
    <cellStyle name="Финансовый 4 2 4 2 3 3" xfId="1506"/>
    <cellStyle name="Финансовый 4 2 4 2 3 3 2" xfId="3120"/>
    <cellStyle name="Финансовый 4 2 4 2 3 4" xfId="2042"/>
    <cellStyle name="Финансовый 4 2 4 2 4" xfId="702"/>
    <cellStyle name="Финансовый 4 2 4 2 4 2" xfId="2316"/>
    <cellStyle name="Финансовый 4 2 4 2 5" xfId="1238"/>
    <cellStyle name="Финансовый 4 2 4 2 5 2" xfId="2852"/>
    <cellStyle name="Финансовый 4 2 4 2 6" xfId="1774"/>
    <cellStyle name="Финансовый 4 2 4 3" xfId="104"/>
    <cellStyle name="Финансовый 4 2 4 3 2" xfId="246"/>
    <cellStyle name="Финансовый 4 2 4 3 2 2" xfId="515"/>
    <cellStyle name="Финансовый 4 2 4 3 2 2 2" xfId="1058"/>
    <cellStyle name="Финансовый 4 2 4 3 2 2 2 2" xfId="2672"/>
    <cellStyle name="Финансовый 4 2 4 3 2 2 3" xfId="1594"/>
    <cellStyle name="Финансовый 4 2 4 3 2 2 3 2" xfId="3208"/>
    <cellStyle name="Финансовый 4 2 4 3 2 2 4" xfId="2130"/>
    <cellStyle name="Финансовый 4 2 4 3 2 3" xfId="790"/>
    <cellStyle name="Финансовый 4 2 4 3 2 3 2" xfId="2404"/>
    <cellStyle name="Финансовый 4 2 4 3 2 4" xfId="1326"/>
    <cellStyle name="Финансовый 4 2 4 3 2 4 2" xfId="2940"/>
    <cellStyle name="Финансовый 4 2 4 3 2 5" xfId="1862"/>
    <cellStyle name="Финансовый 4 2 4 3 3" xfId="383"/>
    <cellStyle name="Финансовый 4 2 4 3 3 2" xfId="926"/>
    <cellStyle name="Финансовый 4 2 4 3 3 2 2" xfId="2540"/>
    <cellStyle name="Финансовый 4 2 4 3 3 3" xfId="1462"/>
    <cellStyle name="Финансовый 4 2 4 3 3 3 2" xfId="3076"/>
    <cellStyle name="Финансовый 4 2 4 3 3 4" xfId="1998"/>
    <cellStyle name="Финансовый 4 2 4 3 4" xfId="657"/>
    <cellStyle name="Финансовый 4 2 4 3 4 2" xfId="2271"/>
    <cellStyle name="Финансовый 4 2 4 3 5" xfId="1194"/>
    <cellStyle name="Финансовый 4 2 4 3 5 2" xfId="2808"/>
    <cellStyle name="Финансовый 4 2 4 3 6" xfId="1730"/>
    <cellStyle name="Финансовый 4 2 4 4" xfId="201"/>
    <cellStyle name="Финансовый 4 2 4 4 2" xfId="471"/>
    <cellStyle name="Финансовый 4 2 4 4 2 2" xfId="1014"/>
    <cellStyle name="Финансовый 4 2 4 4 2 2 2" xfId="2628"/>
    <cellStyle name="Финансовый 4 2 4 4 2 3" xfId="1550"/>
    <cellStyle name="Финансовый 4 2 4 4 2 3 2" xfId="3164"/>
    <cellStyle name="Финансовый 4 2 4 4 2 4" xfId="2086"/>
    <cellStyle name="Финансовый 4 2 4 4 3" xfId="746"/>
    <cellStyle name="Финансовый 4 2 4 4 3 2" xfId="2360"/>
    <cellStyle name="Финансовый 4 2 4 4 4" xfId="1282"/>
    <cellStyle name="Финансовый 4 2 4 4 4 2" xfId="2896"/>
    <cellStyle name="Финансовый 4 2 4 4 5" xfId="1818"/>
    <cellStyle name="Финансовый 4 2 4 5" xfId="339"/>
    <cellStyle name="Финансовый 4 2 4 5 2" xfId="882"/>
    <cellStyle name="Финансовый 4 2 4 5 2 2" xfId="2496"/>
    <cellStyle name="Финансовый 4 2 4 5 3" xfId="1418"/>
    <cellStyle name="Финансовый 4 2 4 5 3 2" xfId="3032"/>
    <cellStyle name="Финансовый 4 2 4 5 4" xfId="1954"/>
    <cellStyle name="Финансовый 4 2 4 6" xfId="612"/>
    <cellStyle name="Финансовый 4 2 4 6 2" xfId="2226"/>
    <cellStyle name="Финансовый 4 2 4 7" xfId="1150"/>
    <cellStyle name="Финансовый 4 2 4 7 2" xfId="2764"/>
    <cellStyle name="Финансовый 4 2 4 8" xfId="1686"/>
    <cellStyle name="Финансовый 4 2 5" xfId="124"/>
    <cellStyle name="Финансовый 4 2 5 2" xfId="265"/>
    <cellStyle name="Финансовый 4 2 5 2 2" xfId="534"/>
    <cellStyle name="Финансовый 4 2 5 2 2 2" xfId="1077"/>
    <cellStyle name="Финансовый 4 2 5 2 2 2 2" xfId="2691"/>
    <cellStyle name="Финансовый 4 2 5 2 2 3" xfId="1613"/>
    <cellStyle name="Финансовый 4 2 5 2 2 3 2" xfId="3227"/>
    <cellStyle name="Финансовый 4 2 5 2 2 4" xfId="2149"/>
    <cellStyle name="Финансовый 4 2 5 2 3" xfId="809"/>
    <cellStyle name="Финансовый 4 2 5 2 3 2" xfId="2423"/>
    <cellStyle name="Финансовый 4 2 5 2 4" xfId="1345"/>
    <cellStyle name="Финансовый 4 2 5 2 4 2" xfId="2959"/>
    <cellStyle name="Финансовый 4 2 5 2 5" xfId="1881"/>
    <cellStyle name="Финансовый 4 2 5 3" xfId="402"/>
    <cellStyle name="Финансовый 4 2 5 3 2" xfId="945"/>
    <cellStyle name="Финансовый 4 2 5 3 2 2" xfId="2559"/>
    <cellStyle name="Финансовый 4 2 5 3 3" xfId="1481"/>
    <cellStyle name="Финансовый 4 2 5 3 3 2" xfId="3095"/>
    <cellStyle name="Финансовый 4 2 5 3 4" xfId="2017"/>
    <cellStyle name="Финансовый 4 2 5 4" xfId="676"/>
    <cellStyle name="Финансовый 4 2 5 4 2" xfId="2290"/>
    <cellStyle name="Финансовый 4 2 5 5" xfId="1213"/>
    <cellStyle name="Финансовый 4 2 5 5 2" xfId="2827"/>
    <cellStyle name="Финансовый 4 2 5 6" xfId="1749"/>
    <cellStyle name="Финансовый 4 2 6" xfId="76"/>
    <cellStyle name="Финансовый 4 2 6 2" xfId="220"/>
    <cellStyle name="Финансовый 4 2 6 2 2" xfId="490"/>
    <cellStyle name="Финансовый 4 2 6 2 2 2" xfId="1033"/>
    <cellStyle name="Финансовый 4 2 6 2 2 2 2" xfId="2647"/>
    <cellStyle name="Финансовый 4 2 6 2 2 3" xfId="1569"/>
    <cellStyle name="Финансовый 4 2 6 2 2 3 2" xfId="3183"/>
    <cellStyle name="Финансовый 4 2 6 2 2 4" xfId="2105"/>
    <cellStyle name="Финансовый 4 2 6 2 3" xfId="765"/>
    <cellStyle name="Финансовый 4 2 6 2 3 2" xfId="2379"/>
    <cellStyle name="Финансовый 4 2 6 2 4" xfId="1301"/>
    <cellStyle name="Финансовый 4 2 6 2 4 2" xfId="2915"/>
    <cellStyle name="Финансовый 4 2 6 2 5" xfId="1837"/>
    <cellStyle name="Финансовый 4 2 6 3" xfId="358"/>
    <cellStyle name="Финансовый 4 2 6 3 2" xfId="901"/>
    <cellStyle name="Финансовый 4 2 6 3 2 2" xfId="2515"/>
    <cellStyle name="Финансовый 4 2 6 3 3" xfId="1437"/>
    <cellStyle name="Финансовый 4 2 6 3 3 2" xfId="3051"/>
    <cellStyle name="Финансовый 4 2 6 3 4" xfId="1973"/>
    <cellStyle name="Финансовый 4 2 6 4" xfId="631"/>
    <cellStyle name="Финансовый 4 2 6 4 2" xfId="2245"/>
    <cellStyle name="Финансовый 4 2 6 5" xfId="1169"/>
    <cellStyle name="Финансовый 4 2 6 5 2" xfId="2783"/>
    <cellStyle name="Финансовый 4 2 6 6" xfId="1705"/>
    <cellStyle name="Финансовый 4 2 7" xfId="174"/>
    <cellStyle name="Финансовый 4 2 7 2" xfId="446"/>
    <cellStyle name="Финансовый 4 2 7 2 2" xfId="989"/>
    <cellStyle name="Финансовый 4 2 7 2 2 2" xfId="2603"/>
    <cellStyle name="Финансовый 4 2 7 2 3" xfId="1525"/>
    <cellStyle name="Финансовый 4 2 7 2 3 2" xfId="3139"/>
    <cellStyle name="Финансовый 4 2 7 2 4" xfId="2061"/>
    <cellStyle name="Финансовый 4 2 7 3" xfId="721"/>
    <cellStyle name="Финансовый 4 2 7 3 2" xfId="2335"/>
    <cellStyle name="Финансовый 4 2 7 4" xfId="1257"/>
    <cellStyle name="Финансовый 4 2 7 4 2" xfId="2871"/>
    <cellStyle name="Финансовый 4 2 7 5" xfId="1793"/>
    <cellStyle name="Финансовый 4 2 8" xfId="314"/>
    <cellStyle name="Финансовый 4 2 8 2" xfId="857"/>
    <cellStyle name="Финансовый 4 2 8 2 2" xfId="2471"/>
    <cellStyle name="Финансовый 4 2 8 3" xfId="1393"/>
    <cellStyle name="Финансовый 4 2 8 3 2" xfId="3007"/>
    <cellStyle name="Финансовый 4 2 8 4" xfId="1929"/>
    <cellStyle name="Финансовый 4 2 9" xfId="585"/>
    <cellStyle name="Финансовый 4 2 9 2" xfId="2199"/>
    <cellStyle name="Финансовый 4 3" xfId="44"/>
    <cellStyle name="Финансовый 4 3 2" xfId="62"/>
    <cellStyle name="Финансовый 4 3 2 2" xfId="157"/>
    <cellStyle name="Финансовый 4 3 2 2 2" xfId="296"/>
    <cellStyle name="Финансовый 4 3 2 2 2 2" xfId="564"/>
    <cellStyle name="Финансовый 4 3 2 2 2 2 2" xfId="1107"/>
    <cellStyle name="Финансовый 4 3 2 2 2 2 2 2" xfId="2721"/>
    <cellStyle name="Финансовый 4 3 2 2 2 2 3" xfId="1643"/>
    <cellStyle name="Финансовый 4 3 2 2 2 2 3 2" xfId="3257"/>
    <cellStyle name="Финансовый 4 3 2 2 2 2 4" xfId="2179"/>
    <cellStyle name="Финансовый 4 3 2 2 2 3" xfId="839"/>
    <cellStyle name="Финансовый 4 3 2 2 2 3 2" xfId="2453"/>
    <cellStyle name="Финансовый 4 3 2 2 2 4" xfId="1375"/>
    <cellStyle name="Финансовый 4 3 2 2 2 4 2" xfId="2989"/>
    <cellStyle name="Финансовый 4 3 2 2 2 5" xfId="1911"/>
    <cellStyle name="Финансовый 4 3 2 2 3" xfId="432"/>
    <cellStyle name="Финансовый 4 3 2 2 3 2" xfId="975"/>
    <cellStyle name="Финансовый 4 3 2 2 3 2 2" xfId="2589"/>
    <cellStyle name="Финансовый 4 3 2 2 3 3" xfId="1511"/>
    <cellStyle name="Финансовый 4 3 2 2 3 3 2" xfId="3125"/>
    <cellStyle name="Финансовый 4 3 2 2 3 4" xfId="2047"/>
    <cellStyle name="Финансовый 4 3 2 2 4" xfId="707"/>
    <cellStyle name="Финансовый 4 3 2 2 4 2" xfId="2321"/>
    <cellStyle name="Финансовый 4 3 2 2 5" xfId="1243"/>
    <cellStyle name="Финансовый 4 3 2 2 5 2" xfId="2857"/>
    <cellStyle name="Финансовый 4 3 2 2 6" xfId="1779"/>
    <cellStyle name="Финансовый 4 3 2 3" xfId="109"/>
    <cellStyle name="Финансовый 4 3 2 3 2" xfId="251"/>
    <cellStyle name="Финансовый 4 3 2 3 2 2" xfId="520"/>
    <cellStyle name="Финансовый 4 3 2 3 2 2 2" xfId="1063"/>
    <cellStyle name="Финансовый 4 3 2 3 2 2 2 2" xfId="2677"/>
    <cellStyle name="Финансовый 4 3 2 3 2 2 3" xfId="1599"/>
    <cellStyle name="Финансовый 4 3 2 3 2 2 3 2" xfId="3213"/>
    <cellStyle name="Финансовый 4 3 2 3 2 2 4" xfId="2135"/>
    <cellStyle name="Финансовый 4 3 2 3 2 3" xfId="795"/>
    <cellStyle name="Финансовый 4 3 2 3 2 3 2" xfId="2409"/>
    <cellStyle name="Финансовый 4 3 2 3 2 4" xfId="1331"/>
    <cellStyle name="Финансовый 4 3 2 3 2 4 2" xfId="2945"/>
    <cellStyle name="Финансовый 4 3 2 3 2 5" xfId="1867"/>
    <cellStyle name="Финансовый 4 3 2 3 3" xfId="388"/>
    <cellStyle name="Финансовый 4 3 2 3 3 2" xfId="931"/>
    <cellStyle name="Финансовый 4 3 2 3 3 2 2" xfId="2545"/>
    <cellStyle name="Финансовый 4 3 2 3 3 3" xfId="1467"/>
    <cellStyle name="Финансовый 4 3 2 3 3 3 2" xfId="3081"/>
    <cellStyle name="Финансовый 4 3 2 3 3 4" xfId="2003"/>
    <cellStyle name="Финансовый 4 3 2 3 4" xfId="662"/>
    <cellStyle name="Финансовый 4 3 2 3 4 2" xfId="2276"/>
    <cellStyle name="Финансовый 4 3 2 3 5" xfId="1199"/>
    <cellStyle name="Финансовый 4 3 2 3 5 2" xfId="2813"/>
    <cellStyle name="Финансовый 4 3 2 3 6" xfId="1735"/>
    <cellStyle name="Финансовый 4 3 2 4" xfId="206"/>
    <cellStyle name="Финансовый 4 3 2 4 2" xfId="476"/>
    <cellStyle name="Финансовый 4 3 2 4 2 2" xfId="1019"/>
    <cellStyle name="Финансовый 4 3 2 4 2 2 2" xfId="2633"/>
    <cellStyle name="Финансовый 4 3 2 4 2 3" xfId="1555"/>
    <cellStyle name="Финансовый 4 3 2 4 2 3 2" xfId="3169"/>
    <cellStyle name="Финансовый 4 3 2 4 2 4" xfId="2091"/>
    <cellStyle name="Финансовый 4 3 2 4 3" xfId="751"/>
    <cellStyle name="Финансовый 4 3 2 4 3 2" xfId="2365"/>
    <cellStyle name="Финансовый 4 3 2 4 4" xfId="1287"/>
    <cellStyle name="Финансовый 4 3 2 4 4 2" xfId="2901"/>
    <cellStyle name="Финансовый 4 3 2 4 5" xfId="1823"/>
    <cellStyle name="Финансовый 4 3 2 5" xfId="344"/>
    <cellStyle name="Финансовый 4 3 2 5 2" xfId="887"/>
    <cellStyle name="Финансовый 4 3 2 5 2 2" xfId="2501"/>
    <cellStyle name="Финансовый 4 3 2 5 3" xfId="1423"/>
    <cellStyle name="Финансовый 4 3 2 5 3 2" xfId="3037"/>
    <cellStyle name="Финансовый 4 3 2 5 4" xfId="1959"/>
    <cellStyle name="Финансовый 4 3 2 6" xfId="617"/>
    <cellStyle name="Финансовый 4 3 2 6 2" xfId="2231"/>
    <cellStyle name="Финансовый 4 3 2 7" xfId="1155"/>
    <cellStyle name="Финансовый 4 3 2 7 2" xfId="2769"/>
    <cellStyle name="Финансовый 4 3 2 8" xfId="1691"/>
    <cellStyle name="Финансовый 4 3 3" xfId="139"/>
    <cellStyle name="Финансовый 4 3 3 2" xfId="278"/>
    <cellStyle name="Финансовый 4 3 3 2 2" xfId="546"/>
    <cellStyle name="Финансовый 4 3 3 2 2 2" xfId="1089"/>
    <cellStyle name="Финансовый 4 3 3 2 2 2 2" xfId="2703"/>
    <cellStyle name="Финансовый 4 3 3 2 2 3" xfId="1625"/>
    <cellStyle name="Финансовый 4 3 3 2 2 3 2" xfId="3239"/>
    <cellStyle name="Финансовый 4 3 3 2 2 4" xfId="2161"/>
    <cellStyle name="Финансовый 4 3 3 2 3" xfId="821"/>
    <cellStyle name="Финансовый 4 3 3 2 3 2" xfId="2435"/>
    <cellStyle name="Финансовый 4 3 3 2 4" xfId="1357"/>
    <cellStyle name="Финансовый 4 3 3 2 4 2" xfId="2971"/>
    <cellStyle name="Финансовый 4 3 3 2 5" xfId="1893"/>
    <cellStyle name="Финансовый 4 3 3 3" xfId="414"/>
    <cellStyle name="Финансовый 4 3 3 3 2" xfId="957"/>
    <cellStyle name="Финансовый 4 3 3 3 2 2" xfId="2571"/>
    <cellStyle name="Финансовый 4 3 3 3 3" xfId="1493"/>
    <cellStyle name="Финансовый 4 3 3 3 3 2" xfId="3107"/>
    <cellStyle name="Финансовый 4 3 3 3 4" xfId="2029"/>
    <cellStyle name="Финансовый 4 3 3 4" xfId="689"/>
    <cellStyle name="Финансовый 4 3 3 4 2" xfId="2303"/>
    <cellStyle name="Финансовый 4 3 3 5" xfId="1225"/>
    <cellStyle name="Финансовый 4 3 3 5 2" xfId="2839"/>
    <cellStyle name="Финансовый 4 3 3 6" xfId="1761"/>
    <cellStyle name="Финансовый 4 3 4" xfId="91"/>
    <cellStyle name="Финансовый 4 3 4 2" xfId="233"/>
    <cellStyle name="Финансовый 4 3 4 2 2" xfId="502"/>
    <cellStyle name="Финансовый 4 3 4 2 2 2" xfId="1045"/>
    <cellStyle name="Финансовый 4 3 4 2 2 2 2" xfId="2659"/>
    <cellStyle name="Финансовый 4 3 4 2 2 3" xfId="1581"/>
    <cellStyle name="Финансовый 4 3 4 2 2 3 2" xfId="3195"/>
    <cellStyle name="Финансовый 4 3 4 2 2 4" xfId="2117"/>
    <cellStyle name="Финансовый 4 3 4 2 3" xfId="777"/>
    <cellStyle name="Финансовый 4 3 4 2 3 2" xfId="2391"/>
    <cellStyle name="Финансовый 4 3 4 2 4" xfId="1313"/>
    <cellStyle name="Финансовый 4 3 4 2 4 2" xfId="2927"/>
    <cellStyle name="Финансовый 4 3 4 2 5" xfId="1849"/>
    <cellStyle name="Финансовый 4 3 4 3" xfId="370"/>
    <cellStyle name="Финансовый 4 3 4 3 2" xfId="913"/>
    <cellStyle name="Финансовый 4 3 4 3 2 2" xfId="2527"/>
    <cellStyle name="Финансовый 4 3 4 3 3" xfId="1449"/>
    <cellStyle name="Финансовый 4 3 4 3 3 2" xfId="3063"/>
    <cellStyle name="Финансовый 4 3 4 3 4" xfId="1985"/>
    <cellStyle name="Финансовый 4 3 4 4" xfId="644"/>
    <cellStyle name="Финансовый 4 3 4 4 2" xfId="2258"/>
    <cellStyle name="Финансовый 4 3 4 5" xfId="1181"/>
    <cellStyle name="Финансовый 4 3 4 5 2" xfId="2795"/>
    <cellStyle name="Финансовый 4 3 4 6" xfId="1717"/>
    <cellStyle name="Финансовый 4 3 5" xfId="188"/>
    <cellStyle name="Финансовый 4 3 5 2" xfId="458"/>
    <cellStyle name="Финансовый 4 3 5 2 2" xfId="1001"/>
    <cellStyle name="Финансовый 4 3 5 2 2 2" xfId="2615"/>
    <cellStyle name="Финансовый 4 3 5 2 3" xfId="1537"/>
    <cellStyle name="Финансовый 4 3 5 2 3 2" xfId="3151"/>
    <cellStyle name="Финансовый 4 3 5 2 4" xfId="2073"/>
    <cellStyle name="Финансовый 4 3 5 3" xfId="733"/>
    <cellStyle name="Финансовый 4 3 5 3 2" xfId="2347"/>
    <cellStyle name="Финансовый 4 3 5 4" xfId="1269"/>
    <cellStyle name="Финансовый 4 3 5 4 2" xfId="2883"/>
    <cellStyle name="Финансовый 4 3 5 5" xfId="1805"/>
    <cellStyle name="Финансовый 4 3 6" xfId="326"/>
    <cellStyle name="Финансовый 4 3 6 2" xfId="869"/>
    <cellStyle name="Финансовый 4 3 6 2 2" xfId="2483"/>
    <cellStyle name="Финансовый 4 3 6 3" xfId="1405"/>
    <cellStyle name="Финансовый 4 3 6 3 2" xfId="3019"/>
    <cellStyle name="Финансовый 4 3 6 4" xfId="1941"/>
    <cellStyle name="Финансовый 4 3 7" xfId="599"/>
    <cellStyle name="Финансовый 4 3 7 2" xfId="2213"/>
    <cellStyle name="Финансовый 4 3 8" xfId="1137"/>
    <cellStyle name="Финансовый 4 3 8 2" xfId="2751"/>
    <cellStyle name="Финансовый 4 3 9" xfId="1673"/>
    <cellStyle name="Финансовый 4 4" xfId="35"/>
    <cellStyle name="Финансовый 4 4 2" xfId="130"/>
    <cellStyle name="Финансовый 4 4 2 2" xfId="269"/>
    <cellStyle name="Финансовый 4 4 2 2 2" xfId="538"/>
    <cellStyle name="Финансовый 4 4 2 2 2 2" xfId="1081"/>
    <cellStyle name="Финансовый 4 4 2 2 2 2 2" xfId="2695"/>
    <cellStyle name="Финансовый 4 4 2 2 2 3" xfId="1617"/>
    <cellStyle name="Финансовый 4 4 2 2 2 3 2" xfId="3231"/>
    <cellStyle name="Финансовый 4 4 2 2 2 4" xfId="2153"/>
    <cellStyle name="Финансовый 4 4 2 2 3" xfId="813"/>
    <cellStyle name="Финансовый 4 4 2 2 3 2" xfId="2427"/>
    <cellStyle name="Финансовый 4 4 2 2 4" xfId="1349"/>
    <cellStyle name="Финансовый 4 4 2 2 4 2" xfId="2963"/>
    <cellStyle name="Финансовый 4 4 2 2 5" xfId="1885"/>
    <cellStyle name="Финансовый 4 4 2 3" xfId="406"/>
    <cellStyle name="Финансовый 4 4 2 3 2" xfId="949"/>
    <cellStyle name="Финансовый 4 4 2 3 2 2" xfId="2563"/>
    <cellStyle name="Финансовый 4 4 2 3 3" xfId="1485"/>
    <cellStyle name="Финансовый 4 4 2 3 3 2" xfId="3099"/>
    <cellStyle name="Финансовый 4 4 2 3 4" xfId="2021"/>
    <cellStyle name="Финансовый 4 4 2 4" xfId="680"/>
    <cellStyle name="Финансовый 4 4 2 4 2" xfId="2294"/>
    <cellStyle name="Финансовый 4 4 2 5" xfId="1217"/>
    <cellStyle name="Финансовый 4 4 2 5 2" xfId="2831"/>
    <cellStyle name="Финансовый 4 4 2 6" xfId="1753"/>
    <cellStyle name="Финансовый 4 4 3" xfId="82"/>
    <cellStyle name="Финансовый 4 4 3 2" xfId="224"/>
    <cellStyle name="Финансовый 4 4 3 2 2" xfId="494"/>
    <cellStyle name="Финансовый 4 4 3 2 2 2" xfId="1037"/>
    <cellStyle name="Финансовый 4 4 3 2 2 2 2" xfId="2651"/>
    <cellStyle name="Финансовый 4 4 3 2 2 3" xfId="1573"/>
    <cellStyle name="Финансовый 4 4 3 2 2 3 2" xfId="3187"/>
    <cellStyle name="Финансовый 4 4 3 2 2 4" xfId="2109"/>
    <cellStyle name="Финансовый 4 4 3 2 3" xfId="769"/>
    <cellStyle name="Финансовый 4 4 3 2 3 2" xfId="2383"/>
    <cellStyle name="Финансовый 4 4 3 2 4" xfId="1305"/>
    <cellStyle name="Финансовый 4 4 3 2 4 2" xfId="2919"/>
    <cellStyle name="Финансовый 4 4 3 2 5" xfId="1841"/>
    <cellStyle name="Финансовый 4 4 3 3" xfId="362"/>
    <cellStyle name="Финансовый 4 4 3 3 2" xfId="905"/>
    <cellStyle name="Финансовый 4 4 3 3 2 2" xfId="2519"/>
    <cellStyle name="Финансовый 4 4 3 3 3" xfId="1441"/>
    <cellStyle name="Финансовый 4 4 3 3 3 2" xfId="3055"/>
    <cellStyle name="Финансовый 4 4 3 3 4" xfId="1977"/>
    <cellStyle name="Финансовый 4 4 3 4" xfId="635"/>
    <cellStyle name="Финансовый 4 4 3 4 2" xfId="2249"/>
    <cellStyle name="Финансовый 4 4 3 5" xfId="1173"/>
    <cellStyle name="Финансовый 4 4 3 5 2" xfId="2787"/>
    <cellStyle name="Финансовый 4 4 3 6" xfId="1709"/>
    <cellStyle name="Финансовый 4 4 4" xfId="179"/>
    <cellStyle name="Финансовый 4 4 4 2" xfId="450"/>
    <cellStyle name="Финансовый 4 4 4 2 2" xfId="993"/>
    <cellStyle name="Финансовый 4 4 4 2 2 2" xfId="2607"/>
    <cellStyle name="Финансовый 4 4 4 2 3" xfId="1529"/>
    <cellStyle name="Финансовый 4 4 4 2 3 2" xfId="3143"/>
    <cellStyle name="Финансовый 4 4 4 2 4" xfId="2065"/>
    <cellStyle name="Финансовый 4 4 4 3" xfId="725"/>
    <cellStyle name="Финансовый 4 4 4 3 2" xfId="2339"/>
    <cellStyle name="Финансовый 4 4 4 4" xfId="1261"/>
    <cellStyle name="Финансовый 4 4 4 4 2" xfId="2875"/>
    <cellStyle name="Финансовый 4 4 4 5" xfId="1797"/>
    <cellStyle name="Финансовый 4 4 5" xfId="318"/>
    <cellStyle name="Финансовый 4 4 5 2" xfId="861"/>
    <cellStyle name="Финансовый 4 4 5 2 2" xfId="2475"/>
    <cellStyle name="Финансовый 4 4 5 3" xfId="1397"/>
    <cellStyle name="Финансовый 4 4 5 3 2" xfId="3011"/>
    <cellStyle name="Финансовый 4 4 5 4" xfId="1933"/>
    <cellStyle name="Финансовый 4 4 6" xfId="590"/>
    <cellStyle name="Финансовый 4 4 6 2" xfId="2204"/>
    <cellStyle name="Финансовый 4 4 7" xfId="1129"/>
    <cellStyle name="Финансовый 4 4 7 2" xfId="2743"/>
    <cellStyle name="Финансовый 4 4 8" xfId="1665"/>
    <cellStyle name="Финансовый 4 5" xfId="53"/>
    <cellStyle name="Финансовый 4 5 2" xfId="148"/>
    <cellStyle name="Финансовый 4 5 2 2" xfId="287"/>
    <cellStyle name="Финансовый 4 5 2 2 2" xfId="555"/>
    <cellStyle name="Финансовый 4 5 2 2 2 2" xfId="1098"/>
    <cellStyle name="Финансовый 4 5 2 2 2 2 2" xfId="2712"/>
    <cellStyle name="Финансовый 4 5 2 2 2 3" xfId="1634"/>
    <cellStyle name="Финансовый 4 5 2 2 2 3 2" xfId="3248"/>
    <cellStyle name="Финансовый 4 5 2 2 2 4" xfId="2170"/>
    <cellStyle name="Финансовый 4 5 2 2 3" xfId="830"/>
    <cellStyle name="Финансовый 4 5 2 2 3 2" xfId="2444"/>
    <cellStyle name="Финансовый 4 5 2 2 4" xfId="1366"/>
    <cellStyle name="Финансовый 4 5 2 2 4 2" xfId="2980"/>
    <cellStyle name="Финансовый 4 5 2 2 5" xfId="1902"/>
    <cellStyle name="Финансовый 4 5 2 3" xfId="423"/>
    <cellStyle name="Финансовый 4 5 2 3 2" xfId="966"/>
    <cellStyle name="Финансовый 4 5 2 3 2 2" xfId="2580"/>
    <cellStyle name="Финансовый 4 5 2 3 3" xfId="1502"/>
    <cellStyle name="Финансовый 4 5 2 3 3 2" xfId="3116"/>
    <cellStyle name="Финансовый 4 5 2 3 4" xfId="2038"/>
    <cellStyle name="Финансовый 4 5 2 4" xfId="698"/>
    <cellStyle name="Финансовый 4 5 2 4 2" xfId="2312"/>
    <cellStyle name="Финансовый 4 5 2 5" xfId="1234"/>
    <cellStyle name="Финансовый 4 5 2 5 2" xfId="2848"/>
    <cellStyle name="Финансовый 4 5 2 6" xfId="1770"/>
    <cellStyle name="Финансовый 4 5 3" xfId="100"/>
    <cellStyle name="Финансовый 4 5 3 2" xfId="242"/>
    <cellStyle name="Финансовый 4 5 3 2 2" xfId="511"/>
    <cellStyle name="Финансовый 4 5 3 2 2 2" xfId="1054"/>
    <cellStyle name="Финансовый 4 5 3 2 2 2 2" xfId="2668"/>
    <cellStyle name="Финансовый 4 5 3 2 2 3" xfId="1590"/>
    <cellStyle name="Финансовый 4 5 3 2 2 3 2" xfId="3204"/>
    <cellStyle name="Финансовый 4 5 3 2 2 4" xfId="2126"/>
    <cellStyle name="Финансовый 4 5 3 2 3" xfId="786"/>
    <cellStyle name="Финансовый 4 5 3 2 3 2" xfId="2400"/>
    <cellStyle name="Финансовый 4 5 3 2 4" xfId="1322"/>
    <cellStyle name="Финансовый 4 5 3 2 4 2" xfId="2936"/>
    <cellStyle name="Финансовый 4 5 3 2 5" xfId="1858"/>
    <cellStyle name="Финансовый 4 5 3 3" xfId="379"/>
    <cellStyle name="Финансовый 4 5 3 3 2" xfId="922"/>
    <cellStyle name="Финансовый 4 5 3 3 2 2" xfId="2536"/>
    <cellStyle name="Финансовый 4 5 3 3 3" xfId="1458"/>
    <cellStyle name="Финансовый 4 5 3 3 3 2" xfId="3072"/>
    <cellStyle name="Финансовый 4 5 3 3 4" xfId="1994"/>
    <cellStyle name="Финансовый 4 5 3 4" xfId="653"/>
    <cellStyle name="Финансовый 4 5 3 4 2" xfId="2267"/>
    <cellStyle name="Финансовый 4 5 3 5" xfId="1190"/>
    <cellStyle name="Финансовый 4 5 3 5 2" xfId="2804"/>
    <cellStyle name="Финансовый 4 5 3 6" xfId="1726"/>
    <cellStyle name="Финансовый 4 5 4" xfId="197"/>
    <cellStyle name="Финансовый 4 5 4 2" xfId="467"/>
    <cellStyle name="Финансовый 4 5 4 2 2" xfId="1010"/>
    <cellStyle name="Финансовый 4 5 4 2 2 2" xfId="2624"/>
    <cellStyle name="Финансовый 4 5 4 2 3" xfId="1546"/>
    <cellStyle name="Финансовый 4 5 4 2 3 2" xfId="3160"/>
    <cellStyle name="Финансовый 4 5 4 2 4" xfId="2082"/>
    <cellStyle name="Финансовый 4 5 4 3" xfId="742"/>
    <cellStyle name="Финансовый 4 5 4 3 2" xfId="2356"/>
    <cellStyle name="Финансовый 4 5 4 4" xfId="1278"/>
    <cellStyle name="Финансовый 4 5 4 4 2" xfId="2892"/>
    <cellStyle name="Финансовый 4 5 4 5" xfId="1814"/>
    <cellStyle name="Финансовый 4 5 5" xfId="335"/>
    <cellStyle name="Финансовый 4 5 5 2" xfId="878"/>
    <cellStyle name="Финансовый 4 5 5 2 2" xfId="2492"/>
    <cellStyle name="Финансовый 4 5 5 3" xfId="1414"/>
    <cellStyle name="Финансовый 4 5 5 3 2" xfId="3028"/>
    <cellStyle name="Финансовый 4 5 5 4" xfId="1950"/>
    <cellStyle name="Финансовый 4 5 6" xfId="608"/>
    <cellStyle name="Финансовый 4 5 6 2" xfId="2222"/>
    <cellStyle name="Финансовый 4 5 7" xfId="1146"/>
    <cellStyle name="Финансовый 4 5 7 2" xfId="2760"/>
    <cellStyle name="Финансовый 4 5 8" xfId="1682"/>
    <cellStyle name="Финансовый 4 6" xfId="119"/>
    <cellStyle name="Финансовый 4 6 2" xfId="260"/>
    <cellStyle name="Финансовый 4 6 2 2" xfId="529"/>
    <cellStyle name="Финансовый 4 6 2 2 2" xfId="1072"/>
    <cellStyle name="Финансовый 4 6 2 2 2 2" xfId="2686"/>
    <cellStyle name="Финансовый 4 6 2 2 3" xfId="1608"/>
    <cellStyle name="Финансовый 4 6 2 2 3 2" xfId="3222"/>
    <cellStyle name="Финансовый 4 6 2 2 4" xfId="2144"/>
    <cellStyle name="Финансовый 4 6 2 3" xfId="804"/>
    <cellStyle name="Финансовый 4 6 2 3 2" xfId="2418"/>
    <cellStyle name="Финансовый 4 6 2 4" xfId="1340"/>
    <cellStyle name="Финансовый 4 6 2 4 2" xfId="2954"/>
    <cellStyle name="Финансовый 4 6 2 5" xfId="1876"/>
    <cellStyle name="Финансовый 4 6 3" xfId="397"/>
    <cellStyle name="Финансовый 4 6 3 2" xfId="940"/>
    <cellStyle name="Финансовый 4 6 3 2 2" xfId="2554"/>
    <cellStyle name="Финансовый 4 6 3 3" xfId="1476"/>
    <cellStyle name="Финансовый 4 6 3 3 2" xfId="3090"/>
    <cellStyle name="Финансовый 4 6 3 4" xfId="2012"/>
    <cellStyle name="Финансовый 4 6 4" xfId="671"/>
    <cellStyle name="Финансовый 4 6 4 2" xfId="2285"/>
    <cellStyle name="Финансовый 4 6 5" xfId="1208"/>
    <cellStyle name="Финансовый 4 6 5 2" xfId="2822"/>
    <cellStyle name="Финансовый 4 6 6" xfId="1744"/>
    <cellStyle name="Финансовый 4 7" xfId="71"/>
    <cellStyle name="Финансовый 4 7 2" xfId="215"/>
    <cellStyle name="Финансовый 4 7 2 2" xfId="485"/>
    <cellStyle name="Финансовый 4 7 2 2 2" xfId="1028"/>
    <cellStyle name="Финансовый 4 7 2 2 2 2" xfId="2642"/>
    <cellStyle name="Финансовый 4 7 2 2 3" xfId="1564"/>
    <cellStyle name="Финансовый 4 7 2 2 3 2" xfId="3178"/>
    <cellStyle name="Финансовый 4 7 2 2 4" xfId="2100"/>
    <cellStyle name="Финансовый 4 7 2 3" xfId="760"/>
    <cellStyle name="Финансовый 4 7 2 3 2" xfId="2374"/>
    <cellStyle name="Финансовый 4 7 2 4" xfId="1296"/>
    <cellStyle name="Финансовый 4 7 2 4 2" xfId="2910"/>
    <cellStyle name="Финансовый 4 7 2 5" xfId="1832"/>
    <cellStyle name="Финансовый 4 7 3" xfId="353"/>
    <cellStyle name="Финансовый 4 7 3 2" xfId="896"/>
    <cellStyle name="Финансовый 4 7 3 2 2" xfId="2510"/>
    <cellStyle name="Финансовый 4 7 3 3" xfId="1432"/>
    <cellStyle name="Финансовый 4 7 3 3 2" xfId="3046"/>
    <cellStyle name="Финансовый 4 7 3 4" xfId="1968"/>
    <cellStyle name="Финансовый 4 7 4" xfId="626"/>
    <cellStyle name="Финансовый 4 7 4 2" xfId="2240"/>
    <cellStyle name="Финансовый 4 7 5" xfId="1164"/>
    <cellStyle name="Финансовый 4 7 5 2" xfId="2778"/>
    <cellStyle name="Финансовый 4 7 6" xfId="1700"/>
    <cellStyle name="Финансовый 4 8" xfId="167"/>
    <cellStyle name="Финансовый 4 8 2" xfId="441"/>
    <cellStyle name="Финансовый 4 8 2 2" xfId="984"/>
    <cellStyle name="Финансовый 4 8 2 2 2" xfId="2598"/>
    <cellStyle name="Финансовый 4 8 2 3" xfId="1520"/>
    <cellStyle name="Финансовый 4 8 2 3 2" xfId="3134"/>
    <cellStyle name="Финансовый 4 8 2 4" xfId="2056"/>
    <cellStyle name="Финансовый 4 8 3" xfId="716"/>
    <cellStyle name="Финансовый 4 8 3 2" xfId="2330"/>
    <cellStyle name="Финансовый 4 8 4" xfId="1252"/>
    <cellStyle name="Финансовый 4 8 4 2" xfId="2866"/>
    <cellStyle name="Финансовый 4 8 5" xfId="1788"/>
    <cellStyle name="Финансовый 4 9" xfId="309"/>
    <cellStyle name="Финансовый 4 9 2" xfId="852"/>
    <cellStyle name="Финансовый 4 9 2 2" xfId="2466"/>
    <cellStyle name="Финансовый 4 9 3" xfId="1388"/>
    <cellStyle name="Финансовый 4 9 3 2" xfId="3002"/>
    <cellStyle name="Финансовый 4 9 4" xfId="1924"/>
    <cellStyle name="Финансовый 5" xfId="163"/>
  </cellStyles>
  <dxfs count="181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auto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rgb="FFFFFFFF"/>
      </font>
    </dxf>
    <dxf>
      <font>
        <color rgb="FFFFFF00"/>
      </font>
    </dxf>
    <dxf>
      <fill>
        <patternFill patternType="solid"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FFFF00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FFFF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</dxf>
    <dxf>
      <font>
        <color rgb="FFFFFFFF"/>
      </font>
    </dxf>
    <dxf>
      <font>
        <color theme="0"/>
      </font>
    </dxf>
    <dxf>
      <fill>
        <patternFill patternType="solid"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solid">
          <bgColor rgb="FFFFFF00"/>
        </patternFill>
      </fill>
    </dxf>
    <dxf>
      <font>
        <color auto="1"/>
      </font>
      <fill>
        <patternFill patternType="solid">
          <bgColor rgb="FFFFFF00"/>
        </patternFill>
      </fill>
    </dxf>
    <dxf>
      <font>
        <color auto="1"/>
      </font>
      <fill>
        <patternFill patternType="solid">
          <bgColor rgb="FFFFFF00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FFFFFF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ont>
        <color rgb="FFFFFF00"/>
      </font>
    </dxf>
    <dxf>
      <fill>
        <patternFill patternType="solid"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auto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rgb="FFFFFFFF"/>
      </font>
    </dxf>
    <dxf>
      <font>
        <color theme="0"/>
      </font>
    </dxf>
    <dxf>
      <font>
        <color rgb="FFFFFFFF"/>
      </font>
    </dxf>
    <dxf>
      <font>
        <color theme="0"/>
      </font>
    </dxf>
    <dxf>
      <font>
        <color rgb="FFFFFFFF"/>
      </font>
    </dxf>
    <dxf>
      <font>
        <color theme="0"/>
      </font>
    </dxf>
    <dxf>
      <font>
        <color rgb="FFFFFFFF"/>
      </font>
    </dxf>
    <dxf>
      <font>
        <color theme="0"/>
      </font>
    </dxf>
    <dxf>
      <font>
        <color rgb="FFFFFFFF"/>
      </font>
    </dxf>
    <dxf>
      <font>
        <color theme="0"/>
      </font>
    </dxf>
    <dxf>
      <font>
        <color rgb="FFFFFFFF"/>
      </font>
    </dxf>
    <dxf>
      <font>
        <color theme="0"/>
      </font>
    </dxf>
    <dxf>
      <font>
        <color rgb="FFFFFFFF"/>
      </font>
    </dxf>
    <dxf>
      <font>
        <color theme="0"/>
      </font>
    </dxf>
    <dxf>
      <font>
        <color rgb="FFFFFFFF"/>
      </font>
    </dxf>
    <dxf>
      <font>
        <color theme="0"/>
      </font>
    </dxf>
    <dxf>
      <font>
        <color rgb="FFFFFFFF"/>
      </font>
    </dxf>
    <dxf>
      <font>
        <color theme="0"/>
      </font>
    </dxf>
    <dxf>
      <font>
        <color rgb="FFFFFFFF"/>
      </font>
    </dxf>
    <dxf>
      <font>
        <color theme="0"/>
      </font>
    </dxf>
    <dxf>
      <font>
        <color rgb="FFFFFFFF"/>
      </font>
    </dxf>
    <dxf>
      <font>
        <color theme="0"/>
      </font>
    </dxf>
    <dxf>
      <font>
        <color rgb="FFFFFFFF"/>
      </font>
    </dxf>
    <dxf>
      <font>
        <color theme="0"/>
      </font>
    </dxf>
    <dxf>
      <font>
        <color rgb="FFFFFFFF"/>
      </font>
    </dxf>
    <dxf>
      <fill>
        <patternFill>
          <bgColor rgb="FFFF0000"/>
        </patternFill>
      </fill>
    </dxf>
    <dxf>
      <fill>
        <patternFill patternType="solid"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FFFF00"/>
        </patternFill>
      </fill>
    </dxf>
    <dxf>
      <font>
        <color theme="0"/>
      </font>
    </dxf>
    <dxf>
      <font>
        <color theme="0"/>
      </font>
    </dxf>
    <dxf>
      <font>
        <color rgb="FFFFFFFF"/>
      </font>
    </dxf>
    <dxf>
      <fill>
        <patternFill>
          <bgColor rgb="FFFF0000"/>
        </patternFill>
      </fill>
    </dxf>
    <dxf>
      <fill>
        <patternFill patternType="solid">
          <bgColor rgb="FFFFFF00"/>
        </patternFill>
      </fill>
    </dxf>
    <dxf>
      <fill>
        <patternFill>
          <bgColor rgb="FFFF0000"/>
        </patternFill>
      </fill>
    </dxf>
    <dxf>
      <font>
        <color rgb="FFFFFFFF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 patternType="solid">
          <bgColor rgb="FFFFFF00"/>
        </patternFill>
      </fill>
    </dxf>
    <dxf>
      <fill>
        <patternFill>
          <bgColor rgb="FFFF0000"/>
        </patternFill>
      </fill>
    </dxf>
    <dxf>
      <font>
        <color rgb="FFFFFFFF"/>
      </font>
    </dxf>
    <dxf>
      <font>
        <color auto="1"/>
      </font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</dxf>
    <dxf>
      <font>
        <color theme="0"/>
      </font>
    </dxf>
    <dxf>
      <font>
        <color rgb="FFFFFFFF"/>
      </font>
    </dxf>
    <dxf>
      <fill>
        <patternFill>
          <bgColor rgb="FFFF0000"/>
        </patternFill>
      </fill>
    </dxf>
    <dxf>
      <fill>
        <patternFill patternType="solid">
          <bgColor rgb="FFFFFF00"/>
        </patternFill>
      </fill>
    </dxf>
    <dxf>
      <font>
        <color rgb="FFFFFF00"/>
      </font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FFFF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 patternType="solid">
          <bgColor rgb="FFFFFF00"/>
        </patternFill>
      </fill>
    </dxf>
    <dxf>
      <fill>
        <patternFill>
          <bgColor rgb="FFFF0000"/>
        </patternFill>
      </fill>
    </dxf>
    <dxf>
      <font>
        <color rgb="FFFFFFFF"/>
      </font>
    </dxf>
    <dxf>
      <font>
        <color auto="1"/>
      </font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FFFFFFFF"/>
      <color rgb="FF008A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4.emf"/><Relationship Id="rId18" Type="http://schemas.openxmlformats.org/officeDocument/2006/relationships/image" Target="../media/image19.jpg"/><Relationship Id="rId26" Type="http://schemas.openxmlformats.org/officeDocument/2006/relationships/image" Target="../media/image27.jpg"/><Relationship Id="rId39" Type="http://schemas.openxmlformats.org/officeDocument/2006/relationships/image" Target="../media/image40.jpg"/><Relationship Id="rId21" Type="http://schemas.openxmlformats.org/officeDocument/2006/relationships/image" Target="../media/image22.jpg"/><Relationship Id="rId34" Type="http://schemas.openxmlformats.org/officeDocument/2006/relationships/image" Target="../media/image35.jpg"/><Relationship Id="rId42" Type="http://schemas.openxmlformats.org/officeDocument/2006/relationships/image" Target="../media/image43.jpg"/><Relationship Id="rId47" Type="http://schemas.openxmlformats.org/officeDocument/2006/relationships/image" Target="../media/image48.jpg"/><Relationship Id="rId50" Type="http://schemas.openxmlformats.org/officeDocument/2006/relationships/image" Target="../media/image51.jpeg"/><Relationship Id="rId55" Type="http://schemas.openxmlformats.org/officeDocument/2006/relationships/image" Target="../media/image56.png"/><Relationship Id="rId7" Type="http://schemas.openxmlformats.org/officeDocument/2006/relationships/image" Target="../media/image8.emf"/><Relationship Id="rId2" Type="http://schemas.openxmlformats.org/officeDocument/2006/relationships/image" Target="../media/image3.emf"/><Relationship Id="rId16" Type="http://schemas.openxmlformats.org/officeDocument/2006/relationships/image" Target="../media/image17.emf"/><Relationship Id="rId29" Type="http://schemas.openxmlformats.org/officeDocument/2006/relationships/image" Target="../media/image30.png"/><Relationship Id="rId11" Type="http://schemas.openxmlformats.org/officeDocument/2006/relationships/image" Target="../media/image12.emf"/><Relationship Id="rId24" Type="http://schemas.openxmlformats.org/officeDocument/2006/relationships/image" Target="../media/image25.emf"/><Relationship Id="rId32" Type="http://schemas.openxmlformats.org/officeDocument/2006/relationships/image" Target="../media/image33.emf"/><Relationship Id="rId37" Type="http://schemas.openxmlformats.org/officeDocument/2006/relationships/image" Target="../media/image38.jpg"/><Relationship Id="rId40" Type="http://schemas.openxmlformats.org/officeDocument/2006/relationships/image" Target="../media/image41.jpg"/><Relationship Id="rId45" Type="http://schemas.openxmlformats.org/officeDocument/2006/relationships/image" Target="../media/image46.jpeg"/><Relationship Id="rId53" Type="http://schemas.openxmlformats.org/officeDocument/2006/relationships/image" Target="../media/image54.png"/><Relationship Id="rId5" Type="http://schemas.openxmlformats.org/officeDocument/2006/relationships/image" Target="../media/image6.emf"/><Relationship Id="rId10" Type="http://schemas.openxmlformats.org/officeDocument/2006/relationships/image" Target="../media/image11.emf"/><Relationship Id="rId19" Type="http://schemas.openxmlformats.org/officeDocument/2006/relationships/image" Target="../media/image20.jpg"/><Relationship Id="rId31" Type="http://schemas.openxmlformats.org/officeDocument/2006/relationships/image" Target="../media/image32.emf"/><Relationship Id="rId44" Type="http://schemas.openxmlformats.org/officeDocument/2006/relationships/image" Target="../media/image45.jpg"/><Relationship Id="rId52" Type="http://schemas.openxmlformats.org/officeDocument/2006/relationships/image" Target="../media/image53.png"/><Relationship Id="rId4" Type="http://schemas.openxmlformats.org/officeDocument/2006/relationships/image" Target="../media/image5.emf"/><Relationship Id="rId9" Type="http://schemas.openxmlformats.org/officeDocument/2006/relationships/image" Target="../media/image10.emf"/><Relationship Id="rId14" Type="http://schemas.openxmlformats.org/officeDocument/2006/relationships/image" Target="../media/image15.jpg"/><Relationship Id="rId22" Type="http://schemas.openxmlformats.org/officeDocument/2006/relationships/image" Target="../media/image23.jpg"/><Relationship Id="rId27" Type="http://schemas.openxmlformats.org/officeDocument/2006/relationships/image" Target="../media/image28.jpg"/><Relationship Id="rId30" Type="http://schemas.openxmlformats.org/officeDocument/2006/relationships/image" Target="../media/image31.png"/><Relationship Id="rId35" Type="http://schemas.openxmlformats.org/officeDocument/2006/relationships/image" Target="../media/image36.jpg"/><Relationship Id="rId43" Type="http://schemas.openxmlformats.org/officeDocument/2006/relationships/image" Target="../media/image44.jpg"/><Relationship Id="rId48" Type="http://schemas.openxmlformats.org/officeDocument/2006/relationships/image" Target="../media/image49.jpg"/><Relationship Id="rId56" Type="http://schemas.openxmlformats.org/officeDocument/2006/relationships/image" Target="../media/image57.png"/><Relationship Id="rId8" Type="http://schemas.openxmlformats.org/officeDocument/2006/relationships/image" Target="../media/image9.emf"/><Relationship Id="rId51" Type="http://schemas.openxmlformats.org/officeDocument/2006/relationships/image" Target="../media/image52.jpg"/><Relationship Id="rId3" Type="http://schemas.openxmlformats.org/officeDocument/2006/relationships/image" Target="../media/image4.emf"/><Relationship Id="rId12" Type="http://schemas.openxmlformats.org/officeDocument/2006/relationships/image" Target="../media/image13.emf"/><Relationship Id="rId17" Type="http://schemas.openxmlformats.org/officeDocument/2006/relationships/image" Target="../media/image18.jpg"/><Relationship Id="rId25" Type="http://schemas.openxmlformats.org/officeDocument/2006/relationships/image" Target="../media/image26.jpg"/><Relationship Id="rId33" Type="http://schemas.openxmlformats.org/officeDocument/2006/relationships/image" Target="../media/image34.jpg"/><Relationship Id="rId38" Type="http://schemas.openxmlformats.org/officeDocument/2006/relationships/image" Target="../media/image39.jpg"/><Relationship Id="rId46" Type="http://schemas.openxmlformats.org/officeDocument/2006/relationships/image" Target="../media/image47.jpeg"/><Relationship Id="rId20" Type="http://schemas.openxmlformats.org/officeDocument/2006/relationships/image" Target="../media/image21.jpg"/><Relationship Id="rId41" Type="http://schemas.openxmlformats.org/officeDocument/2006/relationships/image" Target="../media/image42.jpg"/><Relationship Id="rId54" Type="http://schemas.openxmlformats.org/officeDocument/2006/relationships/image" Target="../media/image55.png"/><Relationship Id="rId1" Type="http://schemas.openxmlformats.org/officeDocument/2006/relationships/image" Target="../media/image2.emf"/><Relationship Id="rId6" Type="http://schemas.openxmlformats.org/officeDocument/2006/relationships/image" Target="../media/image7.emf"/><Relationship Id="rId15" Type="http://schemas.openxmlformats.org/officeDocument/2006/relationships/image" Target="../media/image16.jpg"/><Relationship Id="rId23" Type="http://schemas.openxmlformats.org/officeDocument/2006/relationships/image" Target="../media/image24.jpg"/><Relationship Id="rId28" Type="http://schemas.openxmlformats.org/officeDocument/2006/relationships/image" Target="../media/image29.emf"/><Relationship Id="rId36" Type="http://schemas.openxmlformats.org/officeDocument/2006/relationships/image" Target="../media/image37.jpg"/><Relationship Id="rId49" Type="http://schemas.openxmlformats.org/officeDocument/2006/relationships/image" Target="../media/image5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802820</xdr:colOff>
      <xdr:row>31</xdr:row>
      <xdr:rowOff>54427</xdr:rowOff>
    </xdr:from>
    <xdr:to>
      <xdr:col>1</xdr:col>
      <xdr:colOff>2109108</xdr:colOff>
      <xdr:row>42</xdr:row>
      <xdr:rowOff>54427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563" y="10003970"/>
          <a:ext cx="1306288" cy="34725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568776</xdr:colOff>
      <xdr:row>24</xdr:row>
      <xdr:rowOff>201393</xdr:rowOff>
    </xdr:from>
    <xdr:to>
      <xdr:col>1</xdr:col>
      <xdr:colOff>1868180</xdr:colOff>
      <xdr:row>33</xdr:row>
      <xdr:rowOff>74841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090" y="6602193"/>
          <a:ext cx="1299404" cy="27146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896001</xdr:colOff>
      <xdr:row>27</xdr:row>
      <xdr:rowOff>228600</xdr:rowOff>
    </xdr:from>
    <xdr:to>
      <xdr:col>1</xdr:col>
      <xdr:colOff>2154009</xdr:colOff>
      <xdr:row>35</xdr:row>
      <xdr:rowOff>251458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5744" y="8752114"/>
          <a:ext cx="1258008" cy="25483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606876</xdr:colOff>
      <xdr:row>22</xdr:row>
      <xdr:rowOff>210918</xdr:rowOff>
    </xdr:from>
    <xdr:to>
      <xdr:col>1</xdr:col>
      <xdr:colOff>1915884</xdr:colOff>
      <xdr:row>31</xdr:row>
      <xdr:rowOff>195945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190" y="5991232"/>
          <a:ext cx="1309008" cy="282619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554651</xdr:colOff>
      <xdr:row>5</xdr:row>
      <xdr:rowOff>0</xdr:rowOff>
    </xdr:from>
    <xdr:to>
      <xdr:col>1</xdr:col>
      <xdr:colOff>874277</xdr:colOff>
      <xdr:row>5</xdr:row>
      <xdr:rowOff>326</xdr:rowOff>
    </xdr:to>
    <xdr:pic>
      <xdr:nvPicPr>
        <xdr:cNvPr id="537" name="Рисунок 536">
          <a:extLst>
            <a:ext uri="{FF2B5EF4-FFF2-40B4-BE49-F238E27FC236}">
              <a16:creationId xmlns:a16="http://schemas.microsoft.com/office/drawing/2014/main" id="{00000000-0008-0000-0100-00001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326" y="23994534"/>
          <a:ext cx="319626" cy="209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863113</xdr:colOff>
      <xdr:row>5</xdr:row>
      <xdr:rowOff>0</xdr:rowOff>
    </xdr:from>
    <xdr:to>
      <xdr:col>1</xdr:col>
      <xdr:colOff>1140909</xdr:colOff>
      <xdr:row>5</xdr:row>
      <xdr:rowOff>0</xdr:rowOff>
    </xdr:to>
    <xdr:pic>
      <xdr:nvPicPr>
        <xdr:cNvPr id="538" name="Рисунок 537">
          <a:extLst>
            <a:ext uri="{FF2B5EF4-FFF2-40B4-BE49-F238E27FC236}">
              <a16:creationId xmlns:a16="http://schemas.microsoft.com/office/drawing/2014/main" id="{00000000-0008-0000-0100-00001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788" y="23993475"/>
          <a:ext cx="277796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273647</xdr:colOff>
      <xdr:row>9</xdr:row>
      <xdr:rowOff>224736</xdr:rowOff>
    </xdr:from>
    <xdr:to>
      <xdr:col>1</xdr:col>
      <xdr:colOff>873104</xdr:colOff>
      <xdr:row>12</xdr:row>
      <xdr:rowOff>81420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789" t="7772" r="12210" b="14506"/>
        <a:stretch/>
      </xdr:blipFill>
      <xdr:spPr bwMode="auto">
        <a:xfrm>
          <a:off x="342227" y="2320236"/>
          <a:ext cx="599457" cy="611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288620</xdr:colOff>
      <xdr:row>30</xdr:row>
      <xdr:rowOff>194217</xdr:rowOff>
    </xdr:from>
    <xdr:to>
      <xdr:col>1</xdr:col>
      <xdr:colOff>817246</xdr:colOff>
      <xdr:row>32</xdr:row>
      <xdr:rowOff>232147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45" t="4963" r="13906" b="15660"/>
        <a:stretch/>
      </xdr:blipFill>
      <xdr:spPr bwMode="auto">
        <a:xfrm>
          <a:off x="357200" y="8157117"/>
          <a:ext cx="528626" cy="540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364854</xdr:colOff>
      <xdr:row>38</xdr:row>
      <xdr:rowOff>176247</xdr:rowOff>
    </xdr:from>
    <xdr:to>
      <xdr:col>1</xdr:col>
      <xdr:colOff>842787</xdr:colOff>
      <xdr:row>40</xdr:row>
      <xdr:rowOff>199614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27" t="9056" r="14174" b="18216"/>
        <a:stretch/>
      </xdr:blipFill>
      <xdr:spPr bwMode="auto">
        <a:xfrm>
          <a:off x="433434" y="10150827"/>
          <a:ext cx="477933" cy="5262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329377</xdr:colOff>
      <xdr:row>46</xdr:row>
      <xdr:rowOff>162578</xdr:rowOff>
    </xdr:from>
    <xdr:to>
      <xdr:col>1</xdr:col>
      <xdr:colOff>863236</xdr:colOff>
      <xdr:row>48</xdr:row>
      <xdr:rowOff>226888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47" t="10100" r="13937" b="14153"/>
        <a:stretch/>
      </xdr:blipFill>
      <xdr:spPr bwMode="auto">
        <a:xfrm>
          <a:off x="397957" y="12148838"/>
          <a:ext cx="533859" cy="567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322776</xdr:colOff>
      <xdr:row>23</xdr:row>
      <xdr:rowOff>38099</xdr:rowOff>
    </xdr:from>
    <xdr:to>
      <xdr:col>1</xdr:col>
      <xdr:colOff>796068</xdr:colOff>
      <xdr:row>24</xdr:row>
      <xdr:rowOff>190500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451" y="4933949"/>
          <a:ext cx="473292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341547</xdr:colOff>
      <xdr:row>17</xdr:row>
      <xdr:rowOff>209473</xdr:rowOff>
    </xdr:from>
    <xdr:to>
      <xdr:col>1</xdr:col>
      <xdr:colOff>960120</xdr:colOff>
      <xdr:row>19</xdr:row>
      <xdr:rowOff>230293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127" y="4903393"/>
          <a:ext cx="618573" cy="523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192636</xdr:colOff>
      <xdr:row>127</xdr:row>
      <xdr:rowOff>41606</xdr:rowOff>
    </xdr:from>
    <xdr:to>
      <xdr:col>1</xdr:col>
      <xdr:colOff>907395</xdr:colOff>
      <xdr:row>127</xdr:row>
      <xdr:rowOff>476250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05" t="4717" r="6826" b="10377"/>
        <a:stretch/>
      </xdr:blipFill>
      <xdr:spPr bwMode="auto">
        <a:xfrm>
          <a:off x="259311" y="25435256"/>
          <a:ext cx="714759" cy="434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358140</xdr:colOff>
      <xdr:row>126</xdr:row>
      <xdr:rowOff>72038</xdr:rowOff>
    </xdr:from>
    <xdr:to>
      <xdr:col>1</xdr:col>
      <xdr:colOff>889131</xdr:colOff>
      <xdr:row>126</xdr:row>
      <xdr:rowOff>428657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55" t="5713" r="2342" b="4288"/>
        <a:stretch/>
      </xdr:blipFill>
      <xdr:spPr bwMode="auto">
        <a:xfrm>
          <a:off x="426720" y="33074258"/>
          <a:ext cx="530991" cy="3566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201989</xdr:colOff>
      <xdr:row>129</xdr:row>
      <xdr:rowOff>31146</xdr:rowOff>
    </xdr:from>
    <xdr:to>
      <xdr:col>1</xdr:col>
      <xdr:colOff>839035</xdr:colOff>
      <xdr:row>130</xdr:row>
      <xdr:rowOff>1905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47" t="10549" r="14472" b="8498"/>
        <a:stretch/>
      </xdr:blipFill>
      <xdr:spPr bwMode="auto">
        <a:xfrm>
          <a:off x="268664" y="26567796"/>
          <a:ext cx="637046" cy="473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215543</xdr:colOff>
      <xdr:row>99</xdr:row>
      <xdr:rowOff>90765</xdr:rowOff>
    </xdr:from>
    <xdr:to>
      <xdr:col>1</xdr:col>
      <xdr:colOff>781050</xdr:colOff>
      <xdr:row>101</xdr:row>
      <xdr:rowOff>99771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421" r="10721" b="7368"/>
        <a:stretch/>
      </xdr:blipFill>
      <xdr:spPr bwMode="auto">
        <a:xfrm>
          <a:off x="282218" y="17864415"/>
          <a:ext cx="565507" cy="3900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252176</xdr:colOff>
      <xdr:row>109</xdr:row>
      <xdr:rowOff>32740</xdr:rowOff>
    </xdr:from>
    <xdr:to>
      <xdr:col>1</xdr:col>
      <xdr:colOff>847854</xdr:colOff>
      <xdr:row>109</xdr:row>
      <xdr:rowOff>476250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33" t="4623" r="8794" b="2910"/>
        <a:stretch/>
      </xdr:blipFill>
      <xdr:spPr bwMode="auto">
        <a:xfrm>
          <a:off x="318851" y="19730440"/>
          <a:ext cx="595678" cy="443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450500</xdr:colOff>
      <xdr:row>25</xdr:row>
      <xdr:rowOff>38190</xdr:rowOff>
    </xdr:from>
    <xdr:to>
      <xdr:col>1</xdr:col>
      <xdr:colOff>723062</xdr:colOff>
      <xdr:row>27</xdr:row>
      <xdr:rowOff>103811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175" y="5257890"/>
          <a:ext cx="272562" cy="446621"/>
        </a:xfrm>
        <a:prstGeom prst="rect">
          <a:avLst/>
        </a:prstGeom>
      </xdr:spPr>
    </xdr:pic>
    <xdr:clientData/>
  </xdr:twoCellAnchor>
  <xdr:twoCellAnchor editAs="oneCell">
    <xdr:from>
      <xdr:col>1</xdr:col>
      <xdr:colOff>493234</xdr:colOff>
      <xdr:row>77</xdr:row>
      <xdr:rowOff>150645</xdr:rowOff>
    </xdr:from>
    <xdr:to>
      <xdr:col>1</xdr:col>
      <xdr:colOff>789000</xdr:colOff>
      <xdr:row>79</xdr:row>
      <xdr:rowOff>180976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-1" r="29808" b="3366"/>
        <a:stretch/>
      </xdr:blipFill>
      <xdr:spPr>
        <a:xfrm>
          <a:off x="559909" y="11332995"/>
          <a:ext cx="295766" cy="525631"/>
        </a:xfrm>
        <a:prstGeom prst="rect">
          <a:avLst/>
        </a:prstGeom>
      </xdr:spPr>
    </xdr:pic>
    <xdr:clientData/>
  </xdr:twoCellAnchor>
  <xdr:twoCellAnchor editAs="oneCell">
    <xdr:from>
      <xdr:col>1</xdr:col>
      <xdr:colOff>272417</xdr:colOff>
      <xdr:row>134</xdr:row>
      <xdr:rowOff>43815</xdr:rowOff>
    </xdr:from>
    <xdr:to>
      <xdr:col>1</xdr:col>
      <xdr:colOff>801759</xdr:colOff>
      <xdr:row>134</xdr:row>
      <xdr:rowOff>449580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35" t="7713" r="2347" b="-273"/>
        <a:stretch/>
      </xdr:blipFill>
      <xdr:spPr bwMode="auto">
        <a:xfrm>
          <a:off x="340997" y="36315015"/>
          <a:ext cx="529342" cy="405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334238</xdr:colOff>
      <xdr:row>81</xdr:row>
      <xdr:rowOff>228634</xdr:rowOff>
    </xdr:from>
    <xdr:to>
      <xdr:col>1</xdr:col>
      <xdr:colOff>841992</xdr:colOff>
      <xdr:row>83</xdr:row>
      <xdr:rowOff>104930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913" y="12677809"/>
          <a:ext cx="507754" cy="295396"/>
        </a:xfrm>
        <a:prstGeom prst="rect">
          <a:avLst/>
        </a:prstGeom>
      </xdr:spPr>
    </xdr:pic>
    <xdr:clientData/>
  </xdr:twoCellAnchor>
  <xdr:twoCellAnchor editAs="oneCell">
    <xdr:from>
      <xdr:col>1</xdr:col>
      <xdr:colOff>295246</xdr:colOff>
      <xdr:row>128</xdr:row>
      <xdr:rowOff>36487</xdr:rowOff>
    </xdr:from>
    <xdr:to>
      <xdr:col>1</xdr:col>
      <xdr:colOff>804784</xdr:colOff>
      <xdr:row>128</xdr:row>
      <xdr:rowOff>495300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21" y="26001637"/>
          <a:ext cx="509538" cy="458813"/>
        </a:xfrm>
        <a:prstGeom prst="rect">
          <a:avLst/>
        </a:prstGeom>
      </xdr:spPr>
    </xdr:pic>
    <xdr:clientData/>
  </xdr:twoCellAnchor>
  <xdr:twoCellAnchor editAs="oneCell">
    <xdr:from>
      <xdr:col>1</xdr:col>
      <xdr:colOff>281940</xdr:colOff>
      <xdr:row>125</xdr:row>
      <xdr:rowOff>99806</xdr:rowOff>
    </xdr:from>
    <xdr:to>
      <xdr:col>1</xdr:col>
      <xdr:colOff>961332</xdr:colOff>
      <xdr:row>125</xdr:row>
      <xdr:rowOff>470937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32599106"/>
          <a:ext cx="679392" cy="371131"/>
        </a:xfrm>
        <a:prstGeom prst="rect">
          <a:avLst/>
        </a:prstGeom>
      </xdr:spPr>
    </xdr:pic>
    <xdr:clientData/>
  </xdr:twoCellAnchor>
  <xdr:oneCellAnchor>
    <xdr:from>
      <xdr:col>1</xdr:col>
      <xdr:colOff>381000</xdr:colOff>
      <xdr:row>133</xdr:row>
      <xdr:rowOff>76200</xdr:rowOff>
    </xdr:from>
    <xdr:ext cx="399096" cy="344674"/>
    <xdr:pic>
      <xdr:nvPicPr>
        <xdr:cNvPr id="71" name="Рисунок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27755850"/>
          <a:ext cx="399096" cy="344674"/>
        </a:xfrm>
        <a:prstGeom prst="rect">
          <a:avLst/>
        </a:prstGeom>
      </xdr:spPr>
    </xdr:pic>
    <xdr:clientData/>
  </xdr:oneCellAnchor>
  <xdr:twoCellAnchor editAs="oneCell">
    <xdr:from>
      <xdr:col>1</xdr:col>
      <xdr:colOff>719985</xdr:colOff>
      <xdr:row>140</xdr:row>
      <xdr:rowOff>94421</xdr:rowOff>
    </xdr:from>
    <xdr:to>
      <xdr:col>1</xdr:col>
      <xdr:colOff>1242040</xdr:colOff>
      <xdr:row>141</xdr:row>
      <xdr:rowOff>161925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565" y="39969881"/>
          <a:ext cx="522055" cy="334204"/>
        </a:xfrm>
        <a:prstGeom prst="rect">
          <a:avLst/>
        </a:prstGeom>
      </xdr:spPr>
    </xdr:pic>
    <xdr:clientData/>
  </xdr:twoCellAnchor>
  <xdr:twoCellAnchor editAs="oneCell">
    <xdr:from>
      <xdr:col>1</xdr:col>
      <xdr:colOff>314325</xdr:colOff>
      <xdr:row>130</xdr:row>
      <xdr:rowOff>152400</xdr:rowOff>
    </xdr:from>
    <xdr:to>
      <xdr:col>1</xdr:col>
      <xdr:colOff>762000</xdr:colOff>
      <xdr:row>132</xdr:row>
      <xdr:rowOff>123825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27260550"/>
          <a:ext cx="447675" cy="466725"/>
        </a:xfrm>
        <a:prstGeom prst="rect">
          <a:avLst/>
        </a:prstGeom>
      </xdr:spPr>
    </xdr:pic>
    <xdr:clientData/>
  </xdr:twoCellAnchor>
  <xdr:twoCellAnchor editAs="oneCell">
    <xdr:from>
      <xdr:col>1</xdr:col>
      <xdr:colOff>380999</xdr:colOff>
      <xdr:row>124</xdr:row>
      <xdr:rowOff>44728</xdr:rowOff>
    </xdr:from>
    <xdr:to>
      <xdr:col>1</xdr:col>
      <xdr:colOff>869674</xdr:colOff>
      <xdr:row>124</xdr:row>
      <xdr:rowOff>495300</xdr:rowOff>
    </xdr:to>
    <xdr:pic>
      <xdr:nvPicPr>
        <xdr:cNvPr id="75" name="Рисунок 74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79" y="32041108"/>
          <a:ext cx="488675" cy="450572"/>
        </a:xfrm>
        <a:prstGeom prst="rect">
          <a:avLst/>
        </a:prstGeom>
      </xdr:spPr>
    </xdr:pic>
    <xdr:clientData/>
  </xdr:twoCellAnchor>
  <xdr:twoCellAnchor editAs="oneCell">
    <xdr:from>
      <xdr:col>1</xdr:col>
      <xdr:colOff>323518</xdr:colOff>
      <xdr:row>54</xdr:row>
      <xdr:rowOff>0</xdr:rowOff>
    </xdr:from>
    <xdr:to>
      <xdr:col>1</xdr:col>
      <xdr:colOff>887906</xdr:colOff>
      <xdr:row>56</xdr:row>
      <xdr:rowOff>174434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098" y="14097826"/>
          <a:ext cx="564388" cy="677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231925</xdr:colOff>
      <xdr:row>137</xdr:row>
      <xdr:rowOff>41416</xdr:rowOff>
    </xdr:from>
    <xdr:to>
      <xdr:col>1</xdr:col>
      <xdr:colOff>728881</xdr:colOff>
      <xdr:row>137</xdr:row>
      <xdr:rowOff>447676</xdr:rowOff>
    </xdr:to>
    <xdr:pic>
      <xdr:nvPicPr>
        <xdr:cNvPr id="77" name="Рисунок 76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600" y="30178516"/>
          <a:ext cx="496956" cy="40626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138</xdr:row>
      <xdr:rowOff>41416</xdr:rowOff>
    </xdr:from>
    <xdr:to>
      <xdr:col>1</xdr:col>
      <xdr:colOff>861082</xdr:colOff>
      <xdr:row>138</xdr:row>
      <xdr:rowOff>467114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" y="38324296"/>
          <a:ext cx="632482" cy="425698"/>
        </a:xfrm>
        <a:prstGeom prst="rect">
          <a:avLst/>
        </a:prstGeom>
      </xdr:spPr>
    </xdr:pic>
    <xdr:clientData/>
  </xdr:twoCellAnchor>
  <xdr:twoCellAnchor editAs="oneCell">
    <xdr:from>
      <xdr:col>1</xdr:col>
      <xdr:colOff>88381</xdr:colOff>
      <xdr:row>140</xdr:row>
      <xdr:rowOff>20543</xdr:rowOff>
    </xdr:from>
    <xdr:to>
      <xdr:col>1</xdr:col>
      <xdr:colOff>775833</xdr:colOff>
      <xdr:row>141</xdr:row>
      <xdr:rowOff>163831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61" y="39896003"/>
          <a:ext cx="687452" cy="409988"/>
        </a:xfrm>
        <a:prstGeom prst="rect">
          <a:avLst/>
        </a:prstGeom>
      </xdr:spPr>
    </xdr:pic>
    <xdr:clientData/>
  </xdr:twoCellAnchor>
  <xdr:twoCellAnchor editAs="oneCell">
    <xdr:from>
      <xdr:col>1</xdr:col>
      <xdr:colOff>278296</xdr:colOff>
      <xdr:row>94</xdr:row>
      <xdr:rowOff>60462</xdr:rowOff>
    </xdr:from>
    <xdr:to>
      <xdr:col>1</xdr:col>
      <xdr:colOff>1123122</xdr:colOff>
      <xdr:row>94</xdr:row>
      <xdr:rowOff>390525</xdr:rowOff>
    </xdr:to>
    <xdr:pic>
      <xdr:nvPicPr>
        <xdr:cNvPr id="81" name="Рисунок 8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971" y="16176762"/>
          <a:ext cx="844826" cy="330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333375</xdr:colOff>
      <xdr:row>136</xdr:row>
      <xdr:rowOff>38101</xdr:rowOff>
    </xdr:from>
    <xdr:to>
      <xdr:col>1</xdr:col>
      <xdr:colOff>794128</xdr:colOff>
      <xdr:row>136</xdr:row>
      <xdr:rowOff>472441</xdr:rowOff>
    </xdr:to>
    <xdr:pic>
      <xdr:nvPicPr>
        <xdr:cNvPr id="82" name="Рисунок 81" descr="image001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" y="37315141"/>
          <a:ext cx="460753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80</xdr:row>
      <xdr:rowOff>104775</xdr:rowOff>
    </xdr:from>
    <xdr:to>
      <xdr:col>1</xdr:col>
      <xdr:colOff>904875</xdr:colOff>
      <xdr:row>80</xdr:row>
      <xdr:rowOff>428625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2220575"/>
          <a:ext cx="685800" cy="323850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266701</xdr:colOff>
      <xdr:row>114</xdr:row>
      <xdr:rowOff>76201</xdr:rowOff>
    </xdr:from>
    <xdr:to>
      <xdr:col>1</xdr:col>
      <xdr:colOff>942975</xdr:colOff>
      <xdr:row>114</xdr:row>
      <xdr:rowOff>447675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6" y="21021676"/>
          <a:ext cx="676274" cy="371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350521</xdr:colOff>
      <xdr:row>88</xdr:row>
      <xdr:rowOff>131446</xdr:rowOff>
    </xdr:from>
    <xdr:to>
      <xdr:col>1</xdr:col>
      <xdr:colOff>990600</xdr:colOff>
      <xdr:row>90</xdr:row>
      <xdr:rowOff>216118</xdr:rowOff>
    </xdr:to>
    <xdr:pic>
      <xdr:nvPicPr>
        <xdr:cNvPr id="85" name="Рисунок 84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1" y="22320886"/>
          <a:ext cx="640079" cy="587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344805</xdr:colOff>
      <xdr:row>91</xdr:row>
      <xdr:rowOff>30481</xdr:rowOff>
    </xdr:from>
    <xdr:to>
      <xdr:col>1</xdr:col>
      <xdr:colOff>1019714</xdr:colOff>
      <xdr:row>93</xdr:row>
      <xdr:rowOff>182881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5" y="22974301"/>
          <a:ext cx="674909" cy="655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300404</xdr:colOff>
      <xdr:row>110</xdr:row>
      <xdr:rowOff>101845</xdr:rowOff>
    </xdr:from>
    <xdr:to>
      <xdr:col>1</xdr:col>
      <xdr:colOff>886558</xdr:colOff>
      <xdr:row>112</xdr:row>
      <xdr:rowOff>152400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079" y="20304370"/>
          <a:ext cx="586154" cy="545855"/>
        </a:xfrm>
        <a:prstGeom prst="rect">
          <a:avLst/>
        </a:prstGeom>
      </xdr:spPr>
    </xdr:pic>
    <xdr:clientData/>
  </xdr:twoCellAnchor>
  <xdr:twoCellAnchor editAs="oneCell">
    <xdr:from>
      <xdr:col>1</xdr:col>
      <xdr:colOff>409575</xdr:colOff>
      <xdr:row>95</xdr:row>
      <xdr:rowOff>46893</xdr:rowOff>
    </xdr:from>
    <xdr:to>
      <xdr:col>1</xdr:col>
      <xdr:colOff>790575</xdr:colOff>
      <xdr:row>95</xdr:row>
      <xdr:rowOff>447675</xdr:rowOff>
    </xdr:to>
    <xdr:pic>
      <xdr:nvPicPr>
        <xdr:cNvPr id="89" name="Рисунок 88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16668018"/>
          <a:ext cx="381000" cy="400782"/>
        </a:xfrm>
        <a:prstGeom prst="rect">
          <a:avLst/>
        </a:prstGeom>
      </xdr:spPr>
    </xdr:pic>
    <xdr:clientData/>
  </xdr:twoCellAnchor>
  <xdr:twoCellAnchor editAs="oneCell">
    <xdr:from>
      <xdr:col>1</xdr:col>
      <xdr:colOff>212480</xdr:colOff>
      <xdr:row>121</xdr:row>
      <xdr:rowOff>87923</xdr:rowOff>
    </xdr:from>
    <xdr:to>
      <xdr:col>1</xdr:col>
      <xdr:colOff>921929</xdr:colOff>
      <xdr:row>123</xdr:row>
      <xdr:rowOff>161925</xdr:rowOff>
    </xdr:to>
    <xdr:pic>
      <xdr:nvPicPr>
        <xdr:cNvPr id="91" name="Рисунок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155" y="23024123"/>
          <a:ext cx="709449" cy="569302"/>
        </a:xfrm>
        <a:prstGeom prst="rect">
          <a:avLst/>
        </a:prstGeom>
      </xdr:spPr>
    </xdr:pic>
    <xdr:clientData/>
  </xdr:twoCellAnchor>
  <xdr:twoCellAnchor editAs="oneCell">
    <xdr:from>
      <xdr:col>1</xdr:col>
      <xdr:colOff>260839</xdr:colOff>
      <xdr:row>116</xdr:row>
      <xdr:rowOff>178777</xdr:rowOff>
    </xdr:from>
    <xdr:to>
      <xdr:col>1</xdr:col>
      <xdr:colOff>971551</xdr:colOff>
      <xdr:row>118</xdr:row>
      <xdr:rowOff>219075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514" y="21876727"/>
          <a:ext cx="710712" cy="535598"/>
        </a:xfrm>
        <a:prstGeom prst="rect">
          <a:avLst/>
        </a:prstGeom>
      </xdr:spPr>
    </xdr:pic>
    <xdr:clientData/>
  </xdr:twoCellAnchor>
  <xdr:twoCellAnchor editAs="oneCell">
    <xdr:from>
      <xdr:col>1</xdr:col>
      <xdr:colOff>323266</xdr:colOff>
      <xdr:row>135</xdr:row>
      <xdr:rowOff>43669</xdr:rowOff>
    </xdr:from>
    <xdr:to>
      <xdr:col>1</xdr:col>
      <xdr:colOff>754350</xdr:colOff>
      <xdr:row>135</xdr:row>
      <xdr:rowOff>480060</xdr:rowOff>
    </xdr:to>
    <xdr:pic>
      <xdr:nvPicPr>
        <xdr:cNvPr id="93" name="Рисунок 92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846" y="36817789"/>
          <a:ext cx="431084" cy="436391"/>
        </a:xfrm>
        <a:prstGeom prst="rect">
          <a:avLst/>
        </a:prstGeom>
      </xdr:spPr>
    </xdr:pic>
    <xdr:clientData/>
  </xdr:twoCellAnchor>
  <xdr:oneCellAnchor>
    <xdr:from>
      <xdr:col>1</xdr:col>
      <xdr:colOff>148048</xdr:colOff>
      <xdr:row>149</xdr:row>
      <xdr:rowOff>60961</xdr:rowOff>
    </xdr:from>
    <xdr:ext cx="993967" cy="601980"/>
    <xdr:pic>
      <xdr:nvPicPr>
        <xdr:cNvPr id="94" name="Рисунок 93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628" y="41384221"/>
          <a:ext cx="993967" cy="601980"/>
        </a:xfrm>
        <a:prstGeom prst="rect">
          <a:avLst/>
        </a:prstGeom>
      </xdr:spPr>
    </xdr:pic>
    <xdr:clientData/>
  </xdr:oneCellAnchor>
  <xdr:twoCellAnchor editAs="oneCell">
    <xdr:from>
      <xdr:col>1</xdr:col>
      <xdr:colOff>448005</xdr:colOff>
      <xdr:row>152</xdr:row>
      <xdr:rowOff>34161</xdr:rowOff>
    </xdr:from>
    <xdr:to>
      <xdr:col>1</xdr:col>
      <xdr:colOff>852045</xdr:colOff>
      <xdr:row>152</xdr:row>
      <xdr:rowOff>390525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680" y="35057586"/>
          <a:ext cx="404040" cy="356364"/>
        </a:xfrm>
        <a:prstGeom prst="rect">
          <a:avLst/>
        </a:prstGeom>
      </xdr:spPr>
    </xdr:pic>
    <xdr:clientData/>
  </xdr:twoCellAnchor>
  <xdr:twoCellAnchor editAs="oneCell">
    <xdr:from>
      <xdr:col>1</xdr:col>
      <xdr:colOff>482354</xdr:colOff>
      <xdr:row>153</xdr:row>
      <xdr:rowOff>49341</xdr:rowOff>
    </xdr:from>
    <xdr:to>
      <xdr:col>1</xdr:col>
      <xdr:colOff>819150</xdr:colOff>
      <xdr:row>153</xdr:row>
      <xdr:rowOff>467758</xdr:rowOff>
    </xdr:to>
    <xdr:pic>
      <xdr:nvPicPr>
        <xdr:cNvPr id="97" name="Рисунок 96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029" y="35558541"/>
          <a:ext cx="336796" cy="418417"/>
        </a:xfrm>
        <a:prstGeom prst="rect">
          <a:avLst/>
        </a:prstGeom>
      </xdr:spPr>
    </xdr:pic>
    <xdr:clientData/>
  </xdr:twoCellAnchor>
  <xdr:twoCellAnchor editAs="oneCell">
    <xdr:from>
      <xdr:col>1</xdr:col>
      <xdr:colOff>448542</xdr:colOff>
      <xdr:row>154</xdr:row>
      <xdr:rowOff>85727</xdr:rowOff>
    </xdr:from>
    <xdr:to>
      <xdr:col>1</xdr:col>
      <xdr:colOff>833003</xdr:colOff>
      <xdr:row>154</xdr:row>
      <xdr:rowOff>438150</xdr:rowOff>
    </xdr:to>
    <xdr:pic>
      <xdr:nvPicPr>
        <xdr:cNvPr id="99" name="Рисунок 98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217" y="36090227"/>
          <a:ext cx="384461" cy="352423"/>
        </a:xfrm>
        <a:prstGeom prst="rect">
          <a:avLst/>
        </a:prstGeom>
      </xdr:spPr>
    </xdr:pic>
    <xdr:clientData/>
  </xdr:twoCellAnchor>
  <xdr:twoCellAnchor editAs="oneCell">
    <xdr:from>
      <xdr:col>1</xdr:col>
      <xdr:colOff>94826</xdr:colOff>
      <xdr:row>155</xdr:row>
      <xdr:rowOff>67034</xdr:rowOff>
    </xdr:from>
    <xdr:to>
      <xdr:col>1</xdr:col>
      <xdr:colOff>1101280</xdr:colOff>
      <xdr:row>155</xdr:row>
      <xdr:rowOff>342900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501" y="36604934"/>
          <a:ext cx="1006454" cy="275866"/>
        </a:xfrm>
        <a:prstGeom prst="rect">
          <a:avLst/>
        </a:prstGeom>
      </xdr:spPr>
    </xdr:pic>
    <xdr:clientData/>
  </xdr:twoCellAnchor>
  <xdr:twoCellAnchor editAs="oneCell">
    <xdr:from>
      <xdr:col>1</xdr:col>
      <xdr:colOff>305921</xdr:colOff>
      <xdr:row>156</xdr:row>
      <xdr:rowOff>127186</xdr:rowOff>
    </xdr:from>
    <xdr:to>
      <xdr:col>1</xdr:col>
      <xdr:colOff>1051560</xdr:colOff>
      <xdr:row>157</xdr:row>
      <xdr:rowOff>168857</xdr:rowOff>
    </xdr:to>
    <xdr:pic>
      <xdr:nvPicPr>
        <xdr:cNvPr id="103" name="Рисунок 102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501" y="44879446"/>
          <a:ext cx="745639" cy="498871"/>
        </a:xfrm>
        <a:prstGeom prst="rect">
          <a:avLst/>
        </a:prstGeom>
      </xdr:spPr>
    </xdr:pic>
    <xdr:clientData/>
  </xdr:twoCellAnchor>
  <xdr:twoCellAnchor editAs="oneCell">
    <xdr:from>
      <xdr:col>1</xdr:col>
      <xdr:colOff>347644</xdr:colOff>
      <xdr:row>158</xdr:row>
      <xdr:rowOff>158115</xdr:rowOff>
    </xdr:from>
    <xdr:to>
      <xdr:col>1</xdr:col>
      <xdr:colOff>891540</xdr:colOff>
      <xdr:row>161</xdr:row>
      <xdr:rowOff>49134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224" y="45039915"/>
          <a:ext cx="543896" cy="645399"/>
        </a:xfrm>
        <a:prstGeom prst="rect">
          <a:avLst/>
        </a:prstGeom>
      </xdr:spPr>
    </xdr:pic>
    <xdr:clientData/>
  </xdr:twoCellAnchor>
  <xdr:oneCellAnchor>
    <xdr:from>
      <xdr:col>1</xdr:col>
      <xdr:colOff>240030</xdr:colOff>
      <xdr:row>61</xdr:row>
      <xdr:rowOff>117301</xdr:rowOff>
    </xdr:from>
    <xdr:ext cx="745502" cy="678990"/>
    <xdr:pic>
      <xdr:nvPicPr>
        <xdr:cNvPr id="105" name="Рисунок 11" descr="railUpper-1pre.jpg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" cstate="print"/>
        <a:srcRect l="17855" t="6690" r="19921" b="24244"/>
        <a:stretch/>
      </xdr:blipFill>
      <xdr:spPr bwMode="auto">
        <a:xfrm>
          <a:off x="308610" y="16157401"/>
          <a:ext cx="745502" cy="678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404060</xdr:colOff>
      <xdr:row>67</xdr:row>
      <xdr:rowOff>22861</xdr:rowOff>
    </xdr:from>
    <xdr:ext cx="342700" cy="329518"/>
    <xdr:pic>
      <xdr:nvPicPr>
        <xdr:cNvPr id="106" name="Рисунок 18" descr="profileFront-1pre.jpg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" cstate="print"/>
        <a:srcRect l="13239" t="3660" r="10675" b="26387"/>
        <a:stretch/>
      </xdr:blipFill>
      <xdr:spPr bwMode="auto">
        <a:xfrm>
          <a:off x="472640" y="16703041"/>
          <a:ext cx="342700" cy="3295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367534</xdr:colOff>
      <xdr:row>162</xdr:row>
      <xdr:rowOff>91308</xdr:rowOff>
    </xdr:from>
    <xdr:ext cx="399096" cy="344674"/>
    <xdr:pic>
      <xdr:nvPicPr>
        <xdr:cNvPr id="98" name="Рисунок 97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209" y="38534208"/>
          <a:ext cx="399096" cy="344674"/>
        </a:xfrm>
        <a:prstGeom prst="rect">
          <a:avLst/>
        </a:prstGeom>
      </xdr:spPr>
    </xdr:pic>
    <xdr:clientData/>
  </xdr:oneCellAnchor>
  <xdr:twoCellAnchor editAs="oneCell">
    <xdr:from>
      <xdr:col>1</xdr:col>
      <xdr:colOff>335280</xdr:colOff>
      <xdr:row>84</xdr:row>
      <xdr:rowOff>129540</xdr:rowOff>
    </xdr:from>
    <xdr:to>
      <xdr:col>1</xdr:col>
      <xdr:colOff>928994</xdr:colOff>
      <xdr:row>87</xdr:row>
      <xdr:rowOff>121920</xdr:rowOff>
    </xdr:to>
    <xdr:pic>
      <xdr:nvPicPr>
        <xdr:cNvPr id="79" name="Рисунок 78"/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860" y="21625560"/>
          <a:ext cx="593714" cy="746760"/>
        </a:xfrm>
        <a:prstGeom prst="rect">
          <a:avLst/>
        </a:prstGeom>
      </xdr:spPr>
    </xdr:pic>
    <xdr:clientData/>
  </xdr:twoCellAnchor>
  <xdr:twoCellAnchor editAs="oneCell">
    <xdr:from>
      <xdr:col>1</xdr:col>
      <xdr:colOff>263159</xdr:colOff>
      <xdr:row>102</xdr:row>
      <xdr:rowOff>83820</xdr:rowOff>
    </xdr:from>
    <xdr:to>
      <xdr:col>1</xdr:col>
      <xdr:colOff>979170</xdr:colOff>
      <xdr:row>105</xdr:row>
      <xdr:rowOff>76200</xdr:rowOff>
    </xdr:to>
    <xdr:pic>
      <xdr:nvPicPr>
        <xdr:cNvPr id="95" name="Рисунок 94"/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739" y="25542240"/>
          <a:ext cx="716011" cy="746760"/>
        </a:xfrm>
        <a:prstGeom prst="rect">
          <a:avLst/>
        </a:prstGeom>
      </xdr:spPr>
    </xdr:pic>
    <xdr:clientData/>
  </xdr:twoCellAnchor>
  <xdr:oneCellAnchor>
    <xdr:from>
      <xdr:col>1</xdr:col>
      <xdr:colOff>297180</xdr:colOff>
      <xdr:row>70</xdr:row>
      <xdr:rowOff>76200</xdr:rowOff>
    </xdr:from>
    <xdr:ext cx="624840" cy="736419"/>
    <xdr:pic>
      <xdr:nvPicPr>
        <xdr:cNvPr id="59" name="Рисунок 16" descr="frameDividing-1pre.jpg"/>
        <xdr:cNvPicPr>
          <a:picLocks noChangeAspect="1"/>
        </xdr:cNvPicPr>
      </xdr:nvPicPr>
      <xdr:blipFill rotWithShape="1">
        <a:blip xmlns:r="http://schemas.openxmlformats.org/officeDocument/2006/relationships" r:embed="rId49" cstate="print"/>
        <a:srcRect l="17854" t="3500" r="17617" b="23496"/>
        <a:stretch/>
      </xdr:blipFill>
      <xdr:spPr bwMode="auto">
        <a:xfrm>
          <a:off x="365760" y="18143220"/>
          <a:ext cx="624840" cy="7364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409575</xdr:colOff>
      <xdr:row>143</xdr:row>
      <xdr:rowOff>85725</xdr:rowOff>
    </xdr:from>
    <xdr:to>
      <xdr:col>1</xdr:col>
      <xdr:colOff>864436</xdr:colOff>
      <xdr:row>144</xdr:row>
      <xdr:rowOff>225423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2455" y="36966525"/>
          <a:ext cx="454861" cy="406398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95</xdr:row>
      <xdr:rowOff>53340</xdr:rowOff>
    </xdr:from>
    <xdr:to>
      <xdr:col>1</xdr:col>
      <xdr:colOff>377058</xdr:colOff>
      <xdr:row>95</xdr:row>
      <xdr:rowOff>420138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" y="24300180"/>
          <a:ext cx="262758" cy="366798"/>
        </a:xfrm>
        <a:prstGeom prst="rect">
          <a:avLst/>
        </a:prstGeom>
      </xdr:spPr>
    </xdr:pic>
    <xdr:clientData/>
  </xdr:twoCellAnchor>
  <xdr:twoCellAnchor editAs="oneCell">
    <xdr:from>
      <xdr:col>1</xdr:col>
      <xdr:colOff>259081</xdr:colOff>
      <xdr:row>106</xdr:row>
      <xdr:rowOff>15242</xdr:rowOff>
    </xdr:from>
    <xdr:to>
      <xdr:col>1</xdr:col>
      <xdr:colOff>822960</xdr:colOff>
      <xdr:row>106</xdr:row>
      <xdr:rowOff>445282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327661" y="26479502"/>
          <a:ext cx="563879" cy="430040"/>
        </a:xfrm>
        <a:prstGeom prst="rect">
          <a:avLst/>
        </a:prstGeom>
      </xdr:spPr>
    </xdr:pic>
    <xdr:clientData/>
  </xdr:twoCellAnchor>
  <xdr:twoCellAnchor editAs="oneCell">
    <xdr:from>
      <xdr:col>1</xdr:col>
      <xdr:colOff>335281</xdr:colOff>
      <xdr:row>107</xdr:row>
      <xdr:rowOff>38101</xdr:rowOff>
    </xdr:from>
    <xdr:to>
      <xdr:col>1</xdr:col>
      <xdr:colOff>853440</xdr:colOff>
      <xdr:row>107</xdr:row>
      <xdr:rowOff>432977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403861" y="27005281"/>
          <a:ext cx="518159" cy="394876"/>
        </a:xfrm>
        <a:prstGeom prst="rect">
          <a:avLst/>
        </a:prstGeom>
      </xdr:spPr>
    </xdr:pic>
    <xdr:clientData/>
  </xdr:twoCellAnchor>
  <xdr:twoCellAnchor editAs="oneCell">
    <xdr:from>
      <xdr:col>1</xdr:col>
      <xdr:colOff>320041</xdr:colOff>
      <xdr:row>108</xdr:row>
      <xdr:rowOff>22860</xdr:rowOff>
    </xdr:from>
    <xdr:to>
      <xdr:col>1</xdr:col>
      <xdr:colOff>914400</xdr:colOff>
      <xdr:row>108</xdr:row>
      <xdr:rowOff>461416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388621" y="27492960"/>
          <a:ext cx="594359" cy="438556"/>
        </a:xfrm>
        <a:prstGeom prst="rect">
          <a:avLst/>
        </a:prstGeom>
      </xdr:spPr>
    </xdr:pic>
    <xdr:clientData/>
  </xdr:twoCellAnchor>
  <xdr:twoCellAnchor editAs="oneCell">
    <xdr:from>
      <xdr:col>1</xdr:col>
      <xdr:colOff>297180</xdr:colOff>
      <xdr:row>96</xdr:row>
      <xdr:rowOff>152400</xdr:rowOff>
    </xdr:from>
    <xdr:to>
      <xdr:col>1</xdr:col>
      <xdr:colOff>876300</xdr:colOff>
      <xdr:row>98</xdr:row>
      <xdr:rowOff>92950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365760" y="24856440"/>
          <a:ext cx="579120" cy="44347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114301</xdr:colOff>
      <xdr:row>145</xdr:row>
      <xdr:rowOff>137160</xdr:rowOff>
    </xdr:from>
    <xdr:to>
      <xdr:col>1</xdr:col>
      <xdr:colOff>1104901</xdr:colOff>
      <xdr:row>147</xdr:row>
      <xdr:rowOff>149605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82881" y="41658540"/>
          <a:ext cx="990600" cy="5153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1"/>
    <pageSetUpPr fitToPage="1"/>
  </sheetPr>
  <dimension ref="A1:BS70"/>
  <sheetViews>
    <sheetView tabSelected="1" zoomScale="70" zoomScaleNormal="70" zoomScalePageLayoutView="125" workbookViewId="0">
      <selection activeCell="E3" sqref="E3:H3"/>
    </sheetView>
  </sheetViews>
  <sheetFormatPr defaultColWidth="8.88671875" defaultRowHeight="14.4" x14ac:dyDescent="0.3"/>
  <cols>
    <col min="1" max="1" width="1.77734375" style="1" customWidth="1"/>
    <col min="2" max="3" width="45.77734375" style="1" customWidth="1"/>
    <col min="4" max="8" width="14.77734375" style="1" customWidth="1"/>
    <col min="9" max="9" width="1.77734375" style="1" customWidth="1"/>
    <col min="10" max="10" width="35.77734375" style="1" customWidth="1"/>
    <col min="11" max="15" width="14.77734375" style="1" customWidth="1"/>
    <col min="16" max="16" width="1.77734375" style="1" customWidth="1"/>
    <col min="17" max="17" width="14.77734375" style="1" hidden="1" customWidth="1"/>
    <col min="18" max="18" width="14.77734375" style="1" customWidth="1"/>
    <col min="19" max="19" width="1.77734375" style="1" customWidth="1"/>
    <col min="20" max="20" width="24.77734375" style="1" customWidth="1"/>
    <col min="21" max="33" width="11.77734375" style="1" customWidth="1"/>
    <col min="34" max="34" width="14.77734375" style="1" customWidth="1"/>
    <col min="35" max="38" width="10.109375" style="55" hidden="1" customWidth="1"/>
    <col min="39" max="39" width="13.5546875" style="55" hidden="1" customWidth="1"/>
    <col min="40" max="40" width="12.77734375" style="55" hidden="1" customWidth="1"/>
    <col min="41" max="48" width="10.109375" style="55" hidden="1" customWidth="1"/>
    <col min="49" max="49" width="12.77734375" style="55" hidden="1" customWidth="1"/>
    <col min="50" max="54" width="8.88671875" style="1" hidden="1" customWidth="1"/>
    <col min="55" max="55" width="16.44140625" style="1" hidden="1" customWidth="1"/>
    <col min="56" max="56" width="10.109375" style="1" hidden="1" customWidth="1"/>
    <col min="57" max="57" width="29.88671875" style="1" hidden="1" customWidth="1"/>
    <col min="58" max="63" width="8.88671875" style="1" hidden="1" customWidth="1"/>
    <col min="64" max="64" width="17.44140625" style="1" hidden="1" customWidth="1"/>
    <col min="65" max="65" width="24.6640625" style="1" hidden="1" customWidth="1"/>
    <col min="66" max="66" width="18.5546875" style="1" hidden="1" customWidth="1"/>
    <col min="67" max="71" width="8.88671875" style="1" hidden="1" customWidth="1"/>
    <col min="72" max="72" width="8.88671875" style="1" customWidth="1"/>
    <col min="73" max="16384" width="8.88671875" style="1"/>
  </cols>
  <sheetData>
    <row r="1" spans="2:71" ht="25.05" customHeight="1" x14ac:dyDescent="0.3">
      <c r="B1" s="449" t="s">
        <v>110</v>
      </c>
      <c r="C1" s="449"/>
      <c r="D1" s="449"/>
      <c r="E1" s="449"/>
      <c r="F1" s="449"/>
      <c r="G1" s="449"/>
      <c r="H1" s="449"/>
      <c r="I1" s="152"/>
      <c r="J1" s="449" t="s">
        <v>111</v>
      </c>
      <c r="K1" s="449"/>
      <c r="L1" s="449"/>
      <c r="M1" s="449"/>
      <c r="N1" s="449"/>
      <c r="O1" s="449"/>
      <c r="P1" s="248"/>
      <c r="Q1" s="248"/>
      <c r="R1" s="207"/>
      <c r="S1" s="207"/>
      <c r="T1" s="207"/>
    </row>
    <row r="2" spans="2:71" ht="25.05" customHeight="1" thickBot="1" x14ac:dyDescent="0.35"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</row>
    <row r="3" spans="2:71" s="4" customFormat="1" ht="25.05" customHeight="1" x14ac:dyDescent="0.3">
      <c r="B3" s="452" t="s">
        <v>127</v>
      </c>
      <c r="C3" s="453"/>
      <c r="D3" s="453"/>
      <c r="E3" s="459">
        <v>2600</v>
      </c>
      <c r="F3" s="459"/>
      <c r="G3" s="459"/>
      <c r="H3" s="460"/>
      <c r="J3" s="470" t="s">
        <v>281</v>
      </c>
      <c r="K3" s="472"/>
      <c r="L3" s="3"/>
      <c r="M3" s="3"/>
      <c r="N3" s="475" t="s">
        <v>489</v>
      </c>
      <c r="O3" s="476"/>
      <c r="P3" s="353"/>
      <c r="Q3" s="353"/>
      <c r="R3" s="3"/>
      <c r="S3" s="3"/>
      <c r="T3" s="3"/>
      <c r="U3" s="414" t="s">
        <v>448</v>
      </c>
      <c r="V3" s="414"/>
      <c r="W3" s="414"/>
      <c r="X3" s="414"/>
      <c r="Y3" s="414"/>
      <c r="Z3" s="413" t="s">
        <v>449</v>
      </c>
      <c r="AA3" s="413"/>
      <c r="AB3" s="3"/>
      <c r="AC3" s="3"/>
      <c r="AD3" s="3"/>
      <c r="AE3" s="3"/>
      <c r="AF3" s="3"/>
      <c r="AG3" s="3"/>
      <c r="AH3" s="3"/>
      <c r="AI3" s="3"/>
      <c r="AJ3" s="3"/>
      <c r="AL3" s="3"/>
      <c r="AM3" s="3"/>
      <c r="AN3" s="3"/>
      <c r="AO3" s="3"/>
      <c r="AP3" s="245" t="s">
        <v>449</v>
      </c>
      <c r="AQ3" s="3"/>
      <c r="AR3" s="3"/>
      <c r="AS3" s="3"/>
      <c r="AT3" s="3"/>
      <c r="AU3" s="3"/>
      <c r="AV3" s="3"/>
      <c r="AW3" s="3"/>
    </row>
    <row r="4" spans="2:71" ht="25.05" customHeight="1" x14ac:dyDescent="0.3">
      <c r="B4" s="454" t="s">
        <v>126</v>
      </c>
      <c r="C4" s="455"/>
      <c r="D4" s="455"/>
      <c r="E4" s="461">
        <v>2500</v>
      </c>
      <c r="F4" s="461"/>
      <c r="G4" s="461"/>
      <c r="H4" s="462"/>
      <c r="J4" s="21" t="s">
        <v>21</v>
      </c>
      <c r="K4" s="298">
        <f>IF(OR(E8=BE7,E8=BE8),E3+100-60,E3-60)</f>
        <v>2540</v>
      </c>
      <c r="L4" s="6"/>
      <c r="M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</row>
    <row r="5" spans="2:71" ht="25.05" customHeight="1" thickBot="1" x14ac:dyDescent="0.35">
      <c r="B5" s="454" t="s">
        <v>475</v>
      </c>
      <c r="C5" s="455"/>
      <c r="D5" s="455"/>
      <c r="E5" s="443">
        <v>0</v>
      </c>
      <c r="F5" s="443"/>
      <c r="G5" s="443"/>
      <c r="H5" s="444"/>
      <c r="J5" s="153" t="s">
        <v>22</v>
      </c>
      <c r="K5" s="299">
        <f>ROUNDUP(IF(E8=BE7,E4+39,
IF(AND(E8=BE8,OR(E13=BE36,E13=BE37)),E4/2+39,
IF(AND(E8=BE8,OR(E13=BE38,E13=BE39)),(E4-10)/2+39,
IF(AND(E8=BE9,OR(E13=BE36,E13=BE37)),(E4+39)/2,
IF(AND(E8=BE9,OR(E13=BE38,E13=BE39)),(E4-10+39)/2,
IF(AND(OR(E8=BE10,E8=BE14),OR(E13=BE36,E13=BE37)),(E4+39+39)/4,
IF(AND(OR(E8=BE10,E8=BE14),OR(E13=BE38,E13=BE39)),(E4-10+39+39)/4,
IF(AND(E8=BE11,OR(E13=BE36,E13=BE37),E10&gt;1),(E4+53+(E10-1)*39)/E10,
IF(AND(E8=BE11,OR(E13=BE38,E13=BE39),E10&gt;1),(E4-5+53+(E10-1)*39)/E10,
IF(AND(E8=BE12,OR(E13=BE36,E13=BE37),E10&gt;1),(E4+(E10-1)*39)/E10,
IF(AND(E8=BE12,OR(E13=BE38,E13=BE39),E10&gt;1),(E4-10+(E10-1)*39)/E10,
IF(AND(E8=BE13,OR(E13=BE36,E13=BE37),E10&gt;1),(E4+39+39)/3,
IF(AND(E8=BE13,OR(E13=BE38,E13=BE39),E10&gt;1),(E4-10+39+39)/3,0))))))))))))),0)</f>
        <v>856</v>
      </c>
      <c r="L5" s="5"/>
      <c r="M5" s="5"/>
      <c r="N5" s="411"/>
      <c r="O5" s="411"/>
      <c r="P5" s="354"/>
      <c r="Q5" s="354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144" t="s">
        <v>274</v>
      </c>
      <c r="AL5" s="144"/>
      <c r="AM5" s="144"/>
      <c r="AN5" s="189">
        <v>5000</v>
      </c>
      <c r="AO5" s="189"/>
      <c r="AP5" s="189"/>
      <c r="AQ5" s="189"/>
      <c r="AR5" s="189"/>
      <c r="AS5" s="189"/>
      <c r="AT5" s="189"/>
      <c r="AU5" s="189"/>
      <c r="AV5" s="189"/>
      <c r="AW5" s="189"/>
      <c r="AX5" s="190"/>
      <c r="AY5" s="190"/>
      <c r="AZ5" s="190"/>
      <c r="BA5" s="190"/>
      <c r="BB5" s="190"/>
      <c r="BC5" s="190"/>
      <c r="BD5" s="6"/>
    </row>
    <row r="6" spans="2:71" ht="25.05" customHeight="1" thickBot="1" x14ac:dyDescent="0.35">
      <c r="B6" s="454" t="s">
        <v>254</v>
      </c>
      <c r="C6" s="455"/>
      <c r="D6" s="455"/>
      <c r="E6" s="443" t="s">
        <v>486</v>
      </c>
      <c r="F6" s="443"/>
      <c r="G6" s="443"/>
      <c r="H6" s="444"/>
      <c r="J6" s="473"/>
      <c r="K6" s="473"/>
      <c r="L6" s="473"/>
      <c r="M6" s="473"/>
      <c r="N6" s="345"/>
      <c r="O6" s="345"/>
      <c r="P6" s="345"/>
      <c r="Q6" s="345"/>
      <c r="R6" s="345"/>
      <c r="S6" s="345"/>
      <c r="T6" s="345"/>
      <c r="U6" s="345"/>
      <c r="V6" s="345"/>
      <c r="W6" s="345"/>
      <c r="X6" s="345"/>
      <c r="Y6" s="345"/>
      <c r="Z6" s="345"/>
      <c r="AA6" s="345"/>
      <c r="AB6" s="345"/>
      <c r="AC6" s="345"/>
      <c r="AD6" s="345"/>
      <c r="AE6" s="345"/>
      <c r="AF6" s="345"/>
      <c r="AG6" s="345"/>
      <c r="AH6" s="345"/>
      <c r="AI6" s="3"/>
      <c r="AJ6" s="3"/>
      <c r="AK6" s="144" t="s">
        <v>275</v>
      </c>
      <c r="AL6" s="144"/>
      <c r="AM6" s="144"/>
      <c r="AN6" s="144">
        <v>5075</v>
      </c>
      <c r="AO6" s="189"/>
      <c r="AP6" s="144"/>
      <c r="AQ6" s="144"/>
      <c r="AR6" s="144"/>
      <c r="AS6" s="144"/>
      <c r="AT6" s="144"/>
      <c r="AU6" s="144"/>
      <c r="AV6" s="144"/>
      <c r="AW6" s="144"/>
      <c r="AX6" s="190"/>
      <c r="AY6" s="190"/>
      <c r="AZ6" s="190"/>
      <c r="BA6" s="190"/>
      <c r="BB6" s="190"/>
      <c r="BC6" s="190"/>
      <c r="BD6" s="6"/>
      <c r="BE6" s="51"/>
      <c r="BL6" s="1">
        <f>IF(E7=BE50,O15*Цены!I69,IF(E7=BE51,O15*Цены!I70,IF(OR(E7=BE56,E7=BE57),O15*Цены!I75,Цены!I71)))</f>
        <v>0</v>
      </c>
      <c r="BM6" s="1" t="s">
        <v>485</v>
      </c>
      <c r="BN6" s="1" t="s">
        <v>255</v>
      </c>
      <c r="BO6" s="1">
        <f>IF(E6=BM6,9,8)</f>
        <v>8</v>
      </c>
      <c r="BS6" s="49">
        <v>0</v>
      </c>
    </row>
    <row r="7" spans="2:71" ht="25.05" customHeight="1" x14ac:dyDescent="0.3">
      <c r="B7" s="454" t="s">
        <v>128</v>
      </c>
      <c r="C7" s="455"/>
      <c r="D7" s="455"/>
      <c r="E7" s="443" t="s">
        <v>243</v>
      </c>
      <c r="F7" s="443"/>
      <c r="G7" s="443"/>
      <c r="H7" s="444"/>
      <c r="J7" s="470" t="s">
        <v>188</v>
      </c>
      <c r="K7" s="471"/>
      <c r="L7" s="471"/>
      <c r="M7" s="471"/>
      <c r="N7" s="343"/>
      <c r="O7" s="344"/>
      <c r="P7" s="345"/>
      <c r="Q7" s="345"/>
      <c r="R7" s="262"/>
      <c r="S7" s="345"/>
      <c r="T7" s="342"/>
      <c r="U7" s="426" t="s">
        <v>106</v>
      </c>
      <c r="V7" s="426"/>
      <c r="W7" s="426"/>
      <c r="X7" s="426"/>
      <c r="Y7" s="426"/>
      <c r="Z7" s="426"/>
      <c r="AA7" s="426"/>
      <c r="AB7" s="426"/>
      <c r="AC7" s="426"/>
      <c r="AD7" s="426"/>
      <c r="AE7" s="426"/>
      <c r="AF7" s="426"/>
      <c r="AG7" s="426"/>
      <c r="AH7" s="427"/>
      <c r="AI7" s="3" t="s">
        <v>283</v>
      </c>
      <c r="AJ7" s="3"/>
      <c r="AK7" s="189" t="s">
        <v>276</v>
      </c>
      <c r="AL7" s="189"/>
      <c r="AM7" s="189"/>
      <c r="AN7" s="144">
        <v>5400</v>
      </c>
      <c r="AO7" s="189"/>
      <c r="AP7" s="144"/>
      <c r="AQ7" s="144"/>
      <c r="AR7" s="144"/>
      <c r="AS7" s="144"/>
      <c r="AT7" s="144"/>
      <c r="AU7" s="144"/>
      <c r="AV7" s="144"/>
      <c r="AW7" s="144"/>
      <c r="AX7" s="190"/>
      <c r="AY7" s="190"/>
      <c r="AZ7" s="190"/>
      <c r="BA7" s="190"/>
      <c r="BB7" s="190"/>
      <c r="BC7" s="190"/>
      <c r="BD7" s="6"/>
      <c r="BE7" s="52" t="s">
        <v>101</v>
      </c>
      <c r="BL7" s="1">
        <f>IF(E7=BE50,O15*Цены!I45,IF(E7=BE51,O15*Цены!I46,IF(E7=BE52,O15*Цены!I47,IF(E7=BE53,O15*Цены!I48,O15*Цены!I51))))</f>
        <v>0</v>
      </c>
      <c r="BM7" s="1" t="s">
        <v>486</v>
      </c>
      <c r="BN7" s="1" t="s">
        <v>271</v>
      </c>
      <c r="BS7" s="49">
        <v>1</v>
      </c>
    </row>
    <row r="8" spans="2:71" ht="25.05" customHeight="1" x14ac:dyDescent="0.3">
      <c r="B8" s="456" t="s">
        <v>129</v>
      </c>
      <c r="C8" s="414"/>
      <c r="D8" s="414"/>
      <c r="E8" s="463" t="s">
        <v>136</v>
      </c>
      <c r="F8" s="463"/>
      <c r="G8" s="463"/>
      <c r="H8" s="464"/>
      <c r="J8" s="340" t="s">
        <v>0</v>
      </c>
      <c r="K8" s="341" t="s">
        <v>1</v>
      </c>
      <c r="L8" s="341" t="s">
        <v>8</v>
      </c>
      <c r="M8" s="209" t="s">
        <v>286</v>
      </c>
      <c r="N8" s="209" t="s">
        <v>107</v>
      </c>
      <c r="O8" s="243" t="s">
        <v>24</v>
      </c>
      <c r="P8" s="143"/>
      <c r="Q8" s="143"/>
      <c r="R8" s="263" t="s">
        <v>25</v>
      </c>
      <c r="S8" s="143"/>
      <c r="T8" s="333"/>
      <c r="U8" s="97">
        <v>1000</v>
      </c>
      <c r="V8" s="97">
        <v>1250</v>
      </c>
      <c r="W8" s="97">
        <v>1800</v>
      </c>
      <c r="X8" s="97">
        <v>2000</v>
      </c>
      <c r="Y8" s="97">
        <v>2500</v>
      </c>
      <c r="Z8" s="97">
        <v>2700</v>
      </c>
      <c r="AA8" s="97">
        <v>3000</v>
      </c>
      <c r="AB8" s="97">
        <v>3600</v>
      </c>
      <c r="AC8" s="97">
        <v>3750</v>
      </c>
      <c r="AD8" s="97">
        <v>4000</v>
      </c>
      <c r="AE8" s="97">
        <v>5000</v>
      </c>
      <c r="AF8" s="97">
        <v>5400</v>
      </c>
      <c r="AG8" s="209" t="s">
        <v>107</v>
      </c>
      <c r="AH8" s="53" t="s">
        <v>25</v>
      </c>
      <c r="AI8" s="54"/>
      <c r="AJ8" s="54"/>
      <c r="AK8" s="97">
        <v>1000</v>
      </c>
      <c r="AL8" s="97">
        <v>1250</v>
      </c>
      <c r="AM8" s="97">
        <v>1800</v>
      </c>
      <c r="AN8" s="97">
        <v>2000</v>
      </c>
      <c r="AO8" s="97">
        <v>2500</v>
      </c>
      <c r="AP8" s="97">
        <v>2700</v>
      </c>
      <c r="AQ8" s="97">
        <v>3000</v>
      </c>
      <c r="AR8" s="97">
        <v>3600</v>
      </c>
      <c r="AS8" s="97">
        <v>3750</v>
      </c>
      <c r="AT8" s="97">
        <v>4000</v>
      </c>
      <c r="AU8" s="97">
        <v>5000</v>
      </c>
      <c r="AV8" s="145">
        <v>5400</v>
      </c>
      <c r="AW8" s="191"/>
      <c r="AX8" s="190"/>
      <c r="AY8" s="190"/>
      <c r="AZ8" s="190"/>
      <c r="BA8" s="190"/>
      <c r="BB8" s="190"/>
      <c r="BC8" s="190"/>
      <c r="BD8" s="6"/>
      <c r="BE8" s="52" t="s">
        <v>102</v>
      </c>
      <c r="BS8" s="49">
        <v>2</v>
      </c>
    </row>
    <row r="9" spans="2:71" ht="25.05" customHeight="1" x14ac:dyDescent="0.35">
      <c r="B9" s="456" t="s">
        <v>130</v>
      </c>
      <c r="C9" s="414"/>
      <c r="D9" s="414"/>
      <c r="E9" s="465">
        <f>IF(OR(E8=BE9,E8=BE10,E8=BE8),2,IF(OR(E8=BE11,E8=BE12),E10,IF(E8=BE13,3,IF(E8=BE14,4,1))))</f>
        <v>3</v>
      </c>
      <c r="F9" s="465"/>
      <c r="G9" s="465"/>
      <c r="H9" s="466"/>
      <c r="J9" s="22" t="s">
        <v>2</v>
      </c>
      <c r="K9" s="242" t="s">
        <v>198</v>
      </c>
      <c r="L9" s="364">
        <f>K4</f>
        <v>2540</v>
      </c>
      <c r="M9" s="362">
        <f>IF(E8=BE7,2,
IF(OR(E8=BE8,E8=BE9,E8=BE10),4,
IF(E8=BE13,6,
IF(OR(E8=BE11,E8=BE12),E10*2,
IF(E8=BE14,8,0)))))</f>
        <v>6</v>
      </c>
      <c r="N9" s="364"/>
      <c r="O9" s="374">
        <f>IF(L9&gt;2650,M9,M9/2)</f>
        <v>3</v>
      </c>
      <c r="P9" s="251"/>
      <c r="Q9" s="251"/>
      <c r="R9" s="373">
        <f>IF(E7=BE50,O9*Цены!I8,IF(E7=BE51,O9*Цены!I9,IF(E7=BE52,O9*Цены!I10,IF(E7=BE53,O9*Цены!I11,O9*Цены!I14))))</f>
        <v>13160.939999999999</v>
      </c>
      <c r="S9" s="259"/>
      <c r="T9" s="328" t="str">
        <f>J9</f>
        <v>вертикальный профиль</v>
      </c>
      <c r="U9" s="232">
        <f>AK9</f>
        <v>0</v>
      </c>
      <c r="V9" s="232"/>
      <c r="W9" s="232">
        <f t="shared" ref="W9:AB9" si="0">AM9</f>
        <v>0</v>
      </c>
      <c r="X9" s="232">
        <f t="shared" si="0"/>
        <v>0</v>
      </c>
      <c r="Y9" s="232">
        <f t="shared" si="0"/>
        <v>0</v>
      </c>
      <c r="Z9" s="232">
        <f t="shared" si="0"/>
        <v>0</v>
      </c>
      <c r="AA9" s="232">
        <f t="shared" si="0"/>
        <v>0</v>
      </c>
      <c r="AB9" s="232">
        <f t="shared" si="0"/>
        <v>0</v>
      </c>
      <c r="AC9" s="232"/>
      <c r="AD9" s="232">
        <f>AT9</f>
        <v>0</v>
      </c>
      <c r="AE9" s="232">
        <f>AU9</f>
        <v>0</v>
      </c>
      <c r="AF9" s="232">
        <f>AV9</f>
        <v>3</v>
      </c>
      <c r="AG9" s="133"/>
      <c r="AH9" s="233">
        <f>R9</f>
        <v>13160.939999999999</v>
      </c>
      <c r="AI9" s="403">
        <v>0.69</v>
      </c>
      <c r="AJ9" s="3">
        <f>AI9*L9*M9/1000</f>
        <v>10.515599999999999</v>
      </c>
      <c r="AK9" s="144"/>
      <c r="AL9" s="144"/>
      <c r="AM9" s="144"/>
      <c r="AN9" s="144"/>
      <c r="AO9" s="144"/>
      <c r="AP9" s="144"/>
      <c r="AQ9" s="144"/>
      <c r="AR9" s="144"/>
      <c r="AS9" s="144"/>
      <c r="AT9" s="144"/>
      <c r="AU9" s="144"/>
      <c r="AV9" s="325">
        <f>O9</f>
        <v>3</v>
      </c>
      <c r="AW9" s="144"/>
      <c r="AX9" s="192"/>
      <c r="AY9" s="192"/>
      <c r="AZ9" s="192"/>
      <c r="BA9" s="192"/>
      <c r="BB9" s="192"/>
      <c r="BC9" s="192"/>
      <c r="BD9" s="147"/>
      <c r="BE9" s="52" t="s">
        <v>103</v>
      </c>
      <c r="BN9" s="1" t="s">
        <v>489</v>
      </c>
    </row>
    <row r="10" spans="2:71" ht="25.05" customHeight="1" x14ac:dyDescent="0.3">
      <c r="B10" s="457" t="s">
        <v>280</v>
      </c>
      <c r="C10" s="458"/>
      <c r="D10" s="458"/>
      <c r="E10" s="443">
        <v>3</v>
      </c>
      <c r="F10" s="443"/>
      <c r="G10" s="443"/>
      <c r="H10" s="444"/>
      <c r="J10" s="22" t="s">
        <v>5</v>
      </c>
      <c r="K10" s="239" t="s">
        <v>200</v>
      </c>
      <c r="L10" s="364">
        <f>IF(E8=BE7,E4+K5-52,
IF(E8=BE8,E4+K5*2-104,
IF(OR(E8=BE9,E8=BE10,E8=BE12,E8=BE13,E8=BE14),E4,
IF(E8=BE11,E4+K5-39,0))))</f>
        <v>2500</v>
      </c>
      <c r="M10" s="362">
        <f>IF(E8=BE9,2,
IF(E8=BE13,2,
IF(OR(E8=BE7,E8=BE8,E8=BE10),1,
IF(OR(E8=BE11,E8=BE12),E10,
IF(E8=BE14,2,0)))))</f>
        <v>3</v>
      </c>
      <c r="N10" s="364">
        <f>L10*M10</f>
        <v>7500</v>
      </c>
      <c r="O10" s="372">
        <f>IF(E4&gt;AN5,0,AX10+IF(AW10&gt;0,1,0))</f>
        <v>2</v>
      </c>
      <c r="P10" s="251"/>
      <c r="Q10" s="251"/>
      <c r="R10" s="373">
        <f>IF(OR(E7=BE51,E7=BE57,E7=BE54),O10*Цены!I25,O10*Цены!I24)</f>
        <v>9430.84</v>
      </c>
      <c r="S10" s="259"/>
      <c r="T10" s="328" t="str">
        <f t="shared" ref="T10:T15" si="1">J10</f>
        <v>направляющая верхняя</v>
      </c>
      <c r="U10" s="232"/>
      <c r="V10" s="232"/>
      <c r="W10" s="232"/>
      <c r="X10" s="232"/>
      <c r="Y10" s="232">
        <f t="shared" ref="Y10" si="2">AO10</f>
        <v>1</v>
      </c>
      <c r="Z10" s="232"/>
      <c r="AA10" s="232"/>
      <c r="AB10" s="232"/>
      <c r="AC10" s="232"/>
      <c r="AD10" s="232"/>
      <c r="AE10" s="232">
        <f t="shared" ref="AE10" si="3">AU10</f>
        <v>1</v>
      </c>
      <c r="AF10" s="232"/>
      <c r="AG10" s="346">
        <f>Y10*Y8+AE10*$AE$8</f>
        <v>7500</v>
      </c>
      <c r="AH10" s="347">
        <f>IF(OR($E$7=$BE$51,$E$7=$BE$57,$E$7=$BE$54),Y10*Цены!$I$25*0.5+AE10*Цены!$I$25,
Y10*Цены!$I$24*0.5+AE10*Цены!$I$24)</f>
        <v>7073.13</v>
      </c>
      <c r="AI10" s="3"/>
      <c r="AJ10" s="3"/>
      <c r="AK10" s="146"/>
      <c r="AL10" s="146"/>
      <c r="AM10" s="146"/>
      <c r="AN10" s="146"/>
      <c r="AO10" s="144">
        <f>IF(AND(AW10&gt;0,AW10&lt;=2500),1,0)</f>
        <v>1</v>
      </c>
      <c r="AP10" s="146"/>
      <c r="AQ10" s="146"/>
      <c r="AR10" s="146"/>
      <c r="AS10" s="146"/>
      <c r="AT10" s="146"/>
      <c r="AU10" s="144">
        <f>IF(AND(AW10&gt;2500,AW10&lt;=5000),AX10+1,AX10)</f>
        <v>1</v>
      </c>
      <c r="AV10" s="146"/>
      <c r="AW10" s="189">
        <f>$N$10-INT($AN$5/$L$10)*$L$10*$AX$10</f>
        <v>2500</v>
      </c>
      <c r="AX10" s="144">
        <f>IF($E$4&gt;$AN$5,0,INT($M$10/INT($AN$5/$L$10)))</f>
        <v>1</v>
      </c>
      <c r="AY10" s="144"/>
      <c r="AZ10" s="144"/>
      <c r="BA10" s="144"/>
      <c r="BB10" s="144"/>
      <c r="BC10" s="144"/>
      <c r="BD10" s="3"/>
      <c r="BE10" s="52" t="s">
        <v>163</v>
      </c>
      <c r="BN10" s="1" t="s">
        <v>487</v>
      </c>
    </row>
    <row r="11" spans="2:71" ht="25.05" customHeight="1" x14ac:dyDescent="0.3">
      <c r="B11" s="457" t="s">
        <v>263</v>
      </c>
      <c r="C11" s="458"/>
      <c r="D11" s="458"/>
      <c r="E11" s="441" t="s">
        <v>105</v>
      </c>
      <c r="F11" s="441"/>
      <c r="G11" s="441"/>
      <c r="H11" s="442"/>
      <c r="J11" s="360" t="s">
        <v>6</v>
      </c>
      <c r="K11" s="242" t="s">
        <v>201</v>
      </c>
      <c r="L11" s="371">
        <f>IF(OR(E8=BE7,E8=BE8),38,0)</f>
        <v>0</v>
      </c>
      <c r="M11" s="362">
        <f>IF(OR(E8=BE7,E8=BE8),2,0)</f>
        <v>0</v>
      </c>
      <c r="N11" s="474">
        <f>L12*M12+L11*M11</f>
        <v>5000</v>
      </c>
      <c r="O11" s="429">
        <f>IF(E4&gt;AN5,0,AX11+IF(AW11&gt;0,1,0))</f>
        <v>1</v>
      </c>
      <c r="P11" s="251"/>
      <c r="Q11" s="251"/>
      <c r="R11" s="430">
        <f>IF(E7=BE50,O11*Цены!I16,IF(E7=BE51,O11*Цены!I17,IF(E7=BE52,O11*Цены!I18,IF(E7=BE53,O11*Цены!I19,O11*Цены!I22))))</f>
        <v>1534.73</v>
      </c>
      <c r="S11" s="259"/>
      <c r="T11" s="328" t="str">
        <f t="shared" si="1"/>
        <v>накладка декоративная</v>
      </c>
      <c r="U11" s="423"/>
      <c r="V11" s="423"/>
      <c r="W11" s="423"/>
      <c r="X11" s="423"/>
      <c r="Y11" s="423">
        <f>AO11</f>
        <v>0</v>
      </c>
      <c r="Z11" s="423"/>
      <c r="AA11" s="423"/>
      <c r="AB11" s="423"/>
      <c r="AC11" s="423"/>
      <c r="AD11" s="423"/>
      <c r="AE11" s="423">
        <f>AU11</f>
        <v>1</v>
      </c>
      <c r="AF11" s="423"/>
      <c r="AG11" s="435">
        <f>Y11*Y8+AE11*$AE$8</f>
        <v>5000</v>
      </c>
      <c r="AH11" s="428">
        <f>IF($E$7=$BE$50,(Y11*0.5+AE11)*Цены!$I$16,
IF($E$7=$BE$51,(Y11*0.5+AE11)*Цены!$I$17,
IF($E$7=$BE$52,(Y11*0.5+AE11)*Цены!$I$18,
IF($E$7=BE53,(Y11*0.5+AE11)*Цены!$I$19,
(Y11*0.5+AE11)*Цены!$I$22))))</f>
        <v>1534.73</v>
      </c>
      <c r="AI11" s="3"/>
      <c r="AJ11" s="3"/>
      <c r="AK11" s="146"/>
      <c r="AL11" s="146"/>
      <c r="AM11" s="146"/>
      <c r="AN11" s="146"/>
      <c r="AO11" s="144">
        <f>IF(AND(AW11&gt;0,AW11&lt;=2500),1,0)</f>
        <v>0</v>
      </c>
      <c r="AP11" s="146"/>
      <c r="AQ11" s="146"/>
      <c r="AR11" s="146"/>
      <c r="AS11" s="146"/>
      <c r="AT11" s="146"/>
      <c r="AU11" s="144">
        <f>IF(AND(AW11&gt;2500,AW11&lt;=5000),AX11+1,AX11)</f>
        <v>1</v>
      </c>
      <c r="AV11" s="146"/>
      <c r="AW11" s="189">
        <f>$N$11-INT($AN$6/($L$12+$L$11*$M$11))*($L$12+$L$11*$M$11)*AX11</f>
        <v>0</v>
      </c>
      <c r="AX11" s="144">
        <f>IF($E$4&gt;$AN$5,0,INT($M$12/INT($AN$6/($L$12+$L$11*$M$11))))</f>
        <v>1</v>
      </c>
      <c r="AY11" s="144"/>
      <c r="AZ11" s="144"/>
      <c r="BA11" s="192"/>
      <c r="BB11" s="192"/>
      <c r="BC11" s="192"/>
      <c r="BD11" s="147"/>
      <c r="BE11" s="52" t="s">
        <v>112</v>
      </c>
      <c r="BN11" s="1" t="s">
        <v>488</v>
      </c>
    </row>
    <row r="12" spans="2:71" ht="25.05" customHeight="1" x14ac:dyDescent="0.3">
      <c r="B12" s="439" t="s">
        <v>23</v>
      </c>
      <c r="C12" s="440"/>
      <c r="D12" s="440"/>
      <c r="E12" s="441" t="s">
        <v>105</v>
      </c>
      <c r="F12" s="441"/>
      <c r="G12" s="441"/>
      <c r="H12" s="442"/>
      <c r="J12" s="360" t="s">
        <v>6</v>
      </c>
      <c r="K12" s="242" t="s">
        <v>201</v>
      </c>
      <c r="L12" s="131">
        <f>IF(OR(E8=BE7,E8=BE8),L10+8,
IF(OR(E8=BE9,E8=BE10,E8=BE11,E8=BE12,E8=BE13,E8=BE14),L10,0))</f>
        <v>2500</v>
      </c>
      <c r="M12" s="132">
        <f>IF(OR(E8=BE7,E8=BE8,E8=BE10,E8=BE11),1,
IF(OR(E8=BE9,E8=BE12,E8=BE14),2,
IF(E8=BE13,1,0)))</f>
        <v>2</v>
      </c>
      <c r="N12" s="474"/>
      <c r="O12" s="429"/>
      <c r="P12" s="251"/>
      <c r="Q12" s="251"/>
      <c r="R12" s="430"/>
      <c r="S12" s="259"/>
      <c r="T12" s="328" t="str">
        <f t="shared" si="1"/>
        <v>накладка декоративная</v>
      </c>
      <c r="U12" s="423"/>
      <c r="V12" s="423"/>
      <c r="W12" s="423"/>
      <c r="X12" s="423"/>
      <c r="Y12" s="423"/>
      <c r="Z12" s="423"/>
      <c r="AA12" s="423"/>
      <c r="AB12" s="423"/>
      <c r="AC12" s="423"/>
      <c r="AD12" s="423"/>
      <c r="AE12" s="423"/>
      <c r="AF12" s="423"/>
      <c r="AG12" s="435"/>
      <c r="AH12" s="428"/>
      <c r="AI12" s="3"/>
      <c r="AJ12" s="3"/>
      <c r="AK12" s="144"/>
      <c r="AL12" s="144"/>
      <c r="AM12" s="144"/>
      <c r="AN12" s="144"/>
      <c r="AO12" s="144"/>
      <c r="AP12" s="144"/>
      <c r="AQ12" s="144"/>
      <c r="AR12" s="144"/>
      <c r="AS12" s="144"/>
      <c r="AT12" s="144"/>
      <c r="AU12" s="144"/>
      <c r="AV12" s="144"/>
      <c r="AW12" s="189"/>
      <c r="AX12" s="144"/>
      <c r="AY12" s="144"/>
      <c r="AZ12" s="144"/>
      <c r="BA12" s="192"/>
      <c r="BB12" s="192"/>
      <c r="BC12" s="192"/>
      <c r="BD12" s="147"/>
      <c r="BE12" s="52" t="s">
        <v>136</v>
      </c>
    </row>
    <row r="13" spans="2:71" ht="25.05" customHeight="1" x14ac:dyDescent="0.3">
      <c r="B13" s="445" t="s">
        <v>164</v>
      </c>
      <c r="C13" s="446"/>
      <c r="D13" s="446"/>
      <c r="E13" s="441" t="s">
        <v>135</v>
      </c>
      <c r="F13" s="441"/>
      <c r="G13" s="441"/>
      <c r="H13" s="442"/>
      <c r="J13" s="22" t="s">
        <v>3</v>
      </c>
      <c r="K13" s="242" t="s">
        <v>270</v>
      </c>
      <c r="L13" s="364">
        <f>K5-78</f>
        <v>778</v>
      </c>
      <c r="M13" s="362">
        <f>E9</f>
        <v>3</v>
      </c>
      <c r="N13" s="364">
        <f>L13*M13</f>
        <v>2334</v>
      </c>
      <c r="O13" s="372">
        <f>AX13+IF(AW13&gt;0,1,0)</f>
        <v>1</v>
      </c>
      <c r="P13" s="251"/>
      <c r="Q13" s="251"/>
      <c r="R13" s="373">
        <f>IF(E7=BE50,O13*Цены!I29,IF(E7=BE51,O13*Цены!I30,IF(E7=BE52,O13*Цены!I31,IF(E7=BE53,O13*Цены!I32,O13*Цены!I35))))</f>
        <v>2648.86</v>
      </c>
      <c r="S13" s="259"/>
      <c r="T13" s="328" t="str">
        <f t="shared" si="1"/>
        <v>рамка верхняя</v>
      </c>
      <c r="U13" s="348">
        <f>AK13</f>
        <v>0</v>
      </c>
      <c r="V13" s="348"/>
      <c r="W13" s="348"/>
      <c r="X13" s="348">
        <f t="shared" ref="X13:AA13" si="4">AN13</f>
        <v>0</v>
      </c>
      <c r="Y13" s="348"/>
      <c r="Z13" s="348"/>
      <c r="AA13" s="348">
        <f t="shared" si="4"/>
        <v>1</v>
      </c>
      <c r="AB13" s="348"/>
      <c r="AC13" s="348"/>
      <c r="AD13" s="348">
        <f>AT13</f>
        <v>0</v>
      </c>
      <c r="AE13" s="348">
        <f>AU13</f>
        <v>0</v>
      </c>
      <c r="AF13" s="348"/>
      <c r="AG13" s="346">
        <f>U13*$U$8+X13*$X$8+AA13*$AA$8+AD13*$AD$8+AE13*$AE$8</f>
        <v>3000</v>
      </c>
      <c r="AH13" s="347">
        <f>IF($E$7=$BE$50,(U13*0.2+X13*0.4+AA13*0.6+AD13*0.8+AE13)*Цены!$I$29,
IF($E$7=$BE$51,(U13*0.2+X13*0.4+AA13*0.6+AD13*0.8+AE13)*Цены!$I$30,
IF($E$7=$BE$52,(U13*0.2+X13*0.4+AA13*0.6+AD13*0.8+AE13)*Цены!$I$31,
IF($E$7=$BE$53,(U13*0.2+X13*0.4+AA13*0.6+AD13*0.8+AE13)*Цены!$I$32,
(U13*0.2+X13*0.4+AA13*0.6+AD13*0.8+AE13)*Цены!$I$35))))</f>
        <v>1589.316</v>
      </c>
      <c r="AI13" s="404">
        <v>0.47399999999999998</v>
      </c>
      <c r="AJ13" s="3">
        <f t="shared" ref="AJ13:AJ15" si="5">AI13*L13*M13/1000</f>
        <v>1.1063160000000001</v>
      </c>
      <c r="AK13" s="144">
        <f>IF(AND(AW13&gt;0,AW13&lt;=1000),1,0)</f>
        <v>0</v>
      </c>
      <c r="AL13" s="146"/>
      <c r="AM13" s="146"/>
      <c r="AN13" s="144">
        <f>IF(AND(AW13&gt;1000,AW13&lt;=2000),1,0)</f>
        <v>0</v>
      </c>
      <c r="AO13" s="146"/>
      <c r="AP13" s="146"/>
      <c r="AQ13" s="144">
        <f>IF(AND(AW13&gt;2000,AW13&lt;=3000),1,0)</f>
        <v>1</v>
      </c>
      <c r="AR13" s="146"/>
      <c r="AS13" s="146"/>
      <c r="AT13" s="144">
        <f>IF(AND(AW13&gt;3000,AW13&lt;=4000),1,0)</f>
        <v>0</v>
      </c>
      <c r="AU13" s="144">
        <f>IF(AND(AW13&gt;4000,AW13&lt;=5000),AX13+1,AX13)</f>
        <v>0</v>
      </c>
      <c r="AV13" s="146"/>
      <c r="AW13" s="189">
        <f>N13-INT($AN$5/L13)*L13*AX13</f>
        <v>2334</v>
      </c>
      <c r="AX13" s="144">
        <f>INT(M13/INT($AN$5/L13))</f>
        <v>0</v>
      </c>
      <c r="AY13" s="144"/>
      <c r="AZ13" s="144"/>
      <c r="BA13" s="192"/>
      <c r="BB13" s="192"/>
      <c r="BC13" s="192"/>
      <c r="BD13" s="147"/>
      <c r="BE13" s="52" t="s">
        <v>189</v>
      </c>
    </row>
    <row r="14" spans="2:71" ht="25.05" customHeight="1" x14ac:dyDescent="0.3">
      <c r="B14" s="439" t="s">
        <v>131</v>
      </c>
      <c r="C14" s="440"/>
      <c r="D14" s="440"/>
      <c r="E14" s="441" t="s">
        <v>105</v>
      </c>
      <c r="F14" s="441"/>
      <c r="G14" s="441"/>
      <c r="H14" s="442"/>
      <c r="J14" s="22" t="s">
        <v>4</v>
      </c>
      <c r="K14" s="242" t="s">
        <v>199</v>
      </c>
      <c r="L14" s="364">
        <f>K5-78</f>
        <v>778</v>
      </c>
      <c r="M14" s="362">
        <f>E9</f>
        <v>3</v>
      </c>
      <c r="N14" s="364">
        <f>L14*M14</f>
        <v>2334</v>
      </c>
      <c r="O14" s="372">
        <f>AX14+IF(AW14&gt;0,1,0)</f>
        <v>1</v>
      </c>
      <c r="P14" s="251"/>
      <c r="Q14" s="251"/>
      <c r="R14" s="373">
        <f>IF(E7=BE50,O14*Цены!I37,IF(E7=BE51,O14*Цены!I38,IF(E7=BE52,O14*Цены!I39,IF(E7=BE53,O14*Цены!I40,O14*Цены!I43))))</f>
        <v>2181.79</v>
      </c>
      <c r="S14" s="259"/>
      <c r="T14" s="328" t="str">
        <f t="shared" si="1"/>
        <v>рамка нижняя</v>
      </c>
      <c r="U14" s="348">
        <f t="shared" ref="U14:U15" si="6">AK14</f>
        <v>0</v>
      </c>
      <c r="V14" s="348"/>
      <c r="W14" s="348"/>
      <c r="X14" s="348">
        <f t="shared" ref="X14:X15" si="7">AN14</f>
        <v>0</v>
      </c>
      <c r="Y14" s="348"/>
      <c r="Z14" s="348"/>
      <c r="AA14" s="348">
        <f t="shared" ref="AA14" si="8">AQ14</f>
        <v>1</v>
      </c>
      <c r="AB14" s="348"/>
      <c r="AC14" s="348"/>
      <c r="AD14" s="348">
        <f t="shared" ref="AD14" si="9">AT14</f>
        <v>0</v>
      </c>
      <c r="AE14" s="348">
        <f t="shared" ref="AE14:AE15" si="10">AU14</f>
        <v>0</v>
      </c>
      <c r="AF14" s="348"/>
      <c r="AG14" s="346">
        <f>U14*$U$8+X14*$X$8+AA14*$AA$8+AD14*$AD$8+AE14*$AE$8</f>
        <v>3000</v>
      </c>
      <c r="AH14" s="347">
        <f>IF($E$7=$BE$50,(U14*0.2+X14*0.4+AA14*0.6+AD14*0.8+AE14)*Цены!$I$37,
IF($E$7=$BE$51,(U14*0.2+X14*0.4+AA14*0.6+AD14*0.8+AE14)*Цены!$I$38,
IF($E$7=$BE$52,(U14*0.2+X14*0.4+AA14*0.6+AD14*0.8+AE14)*Цены!$I$39,
IF($E$7=$BE$53,(U14*0.2+X14*0.4+AA14*0.6+AD14*0.8+AE14)*Цены!$I$40,
(U14*0.2+X14*0.4+AA14*0.6+AD14*0.8+AE14)*Цены!$I$43))))</f>
        <v>1309.0739999999998</v>
      </c>
      <c r="AI14" s="404">
        <v>0.379</v>
      </c>
      <c r="AJ14" s="3">
        <f t="shared" si="5"/>
        <v>0.88458599999999998</v>
      </c>
      <c r="AK14" s="144">
        <f>IF(AND(AW14&gt;0,AW14&lt;=1000),1,0)</f>
        <v>0</v>
      </c>
      <c r="AL14" s="146"/>
      <c r="AM14" s="146"/>
      <c r="AN14" s="144">
        <f>IF(AND(AW14&gt;1000,AW14&lt;=2000),1,0)</f>
        <v>0</v>
      </c>
      <c r="AO14" s="146"/>
      <c r="AP14" s="146"/>
      <c r="AQ14" s="144">
        <f>IF(AND(AW14&gt;2000,AW14&lt;=3000),1,0)</f>
        <v>1</v>
      </c>
      <c r="AR14" s="146"/>
      <c r="AS14" s="146"/>
      <c r="AT14" s="144">
        <f>IF(AND(AW14&gt;3000,AW14&lt;=4000),1,0)</f>
        <v>0</v>
      </c>
      <c r="AU14" s="144">
        <f>IF(AND(AW14&gt;4000,AW14&lt;=5000),AX14+1,AX14)</f>
        <v>0</v>
      </c>
      <c r="AV14" s="146"/>
      <c r="AW14" s="189">
        <f>N14-INT($AN$5/L14)*L14*AX14</f>
        <v>2334</v>
      </c>
      <c r="AX14" s="144">
        <f>INT(M14/INT($AN$5/L14))</f>
        <v>0</v>
      </c>
      <c r="AY14" s="144"/>
      <c r="AZ14" s="144"/>
      <c r="BA14" s="192"/>
      <c r="BB14" s="192" t="s">
        <v>277</v>
      </c>
      <c r="BC14" s="193" t="s">
        <v>278</v>
      </c>
      <c r="BD14" s="155"/>
      <c r="BE14" s="1" t="s">
        <v>197</v>
      </c>
      <c r="BN14" s="1" t="s">
        <v>180</v>
      </c>
    </row>
    <row r="15" spans="2:71" ht="25.05" customHeight="1" thickBot="1" x14ac:dyDescent="0.35">
      <c r="B15" s="439" t="s">
        <v>171</v>
      </c>
      <c r="C15" s="440"/>
      <c r="D15" s="440"/>
      <c r="E15" s="443" t="s">
        <v>105</v>
      </c>
      <c r="F15" s="443"/>
      <c r="G15" s="443"/>
      <c r="H15" s="444"/>
      <c r="J15" s="135" t="str">
        <f>E6</f>
        <v>рамка средняя 4в1</v>
      </c>
      <c r="K15" s="242" t="str">
        <f>IF(J15=BM6,BN6,BN7)</f>
        <v>FA0716.VP500</v>
      </c>
      <c r="L15" s="364">
        <f>IF(AND(E6=BM7,E5&gt;0),K5-78,IF(AND(E6=BM6,E5&gt;0),K5-76,0))</f>
        <v>0</v>
      </c>
      <c r="M15" s="362">
        <f>M14*E5</f>
        <v>0</v>
      </c>
      <c r="N15" s="364">
        <f>L15*M15</f>
        <v>0</v>
      </c>
      <c r="O15" s="372">
        <f>IF(J15=BM7,AX15+IF(AW15&gt;0,1,0),BA15+IF(AZ15&gt;0,1,0))</f>
        <v>0</v>
      </c>
      <c r="P15" s="251"/>
      <c r="Q15" s="251"/>
      <c r="R15" s="361">
        <f>IF(J15=BM6,BL6,BL7)</f>
        <v>0</v>
      </c>
      <c r="S15" s="259"/>
      <c r="T15" s="328" t="str">
        <f t="shared" si="1"/>
        <v>рамка средняя 4в1</v>
      </c>
      <c r="U15" s="348">
        <f t="shared" si="6"/>
        <v>0</v>
      </c>
      <c r="V15" s="348"/>
      <c r="W15" s="348">
        <f t="shared" ref="W15" si="11">AM15</f>
        <v>0</v>
      </c>
      <c r="X15" s="348">
        <f t="shared" si="7"/>
        <v>0</v>
      </c>
      <c r="Y15" s="348"/>
      <c r="Z15" s="348">
        <f t="shared" ref="Z15" si="12">AP15</f>
        <v>0</v>
      </c>
      <c r="AA15" s="348">
        <f>AQ15</f>
        <v>0</v>
      </c>
      <c r="AB15" s="348">
        <f>AR15</f>
        <v>0</v>
      </c>
      <c r="AC15" s="348"/>
      <c r="AD15" s="348">
        <f>AT15</f>
        <v>0</v>
      </c>
      <c r="AE15" s="348">
        <f t="shared" si="10"/>
        <v>0</v>
      </c>
      <c r="AF15" s="348">
        <f t="shared" ref="AF15" si="13">AV15</f>
        <v>0</v>
      </c>
      <c r="AG15" s="346">
        <f>U15*$U$8+W15*W8+X15*$X$8+Y15*Y8+Z15*Z8+AA15*$AA$8+AB15*AB8+AD15*$AD$8+AE15*$AE$8+AF15*AF8</f>
        <v>0</v>
      </c>
      <c r="AH15" s="317">
        <f>IF(E6=BM6,BC15,BB15)</f>
        <v>0</v>
      </c>
      <c r="AI15" s="404">
        <v>0.58499999999999996</v>
      </c>
      <c r="AJ15" s="3">
        <f t="shared" si="5"/>
        <v>0</v>
      </c>
      <c r="AK15" s="194">
        <f>IF(AND(J15=BM7,AW15&gt;0,AW15&lt;=1000),1,0)</f>
        <v>0</v>
      </c>
      <c r="AL15" s="146"/>
      <c r="AM15" s="195">
        <f>IF(AND(J15=BM6,AZ15&gt;0,AZ15&lt;=1800),1,0)</f>
        <v>0</v>
      </c>
      <c r="AN15" s="194">
        <f>IF(AND(J15=BM7,AW15&gt;1000,AW15&lt;=2000),1,0)</f>
        <v>0</v>
      </c>
      <c r="AO15" s="146"/>
      <c r="AP15" s="195">
        <f>IF(AND(J15=BM6,AZ15&gt;1800,AZ15&lt;=2700),1,0)</f>
        <v>0</v>
      </c>
      <c r="AQ15" s="194">
        <f>IF(AND(J15=BM7,AW15&gt;2000,AW15&lt;=3000),1,0)</f>
        <v>0</v>
      </c>
      <c r="AR15" s="195">
        <f>IF(AND(J15=BM6,AZ15&gt;2700,AZ15&lt;=3600),1,0)</f>
        <v>0</v>
      </c>
      <c r="AS15" s="146"/>
      <c r="AT15" s="194">
        <f>IF(AND(J15=BM7,AW15&gt;3000,AW15&lt;=4000),1,0)</f>
        <v>0</v>
      </c>
      <c r="AU15" s="194">
        <f>IF(AND(J15=BM7,AW15&gt;4000,AW15&lt;=5000),AX15+1,AX15)</f>
        <v>0</v>
      </c>
      <c r="AV15" s="195">
        <f>IF(AND(J15=BM6,AZ15&gt;3600,AZ15&lt;=5400),BA15+1,BA15)</f>
        <v>0</v>
      </c>
      <c r="AW15" s="189">
        <f>IF(E5&lt;&gt;0,N15-INT(AN5/L15)*L15*AX15,0)</f>
        <v>0</v>
      </c>
      <c r="AX15" s="144">
        <f>IF(AND(E6=BM7,E5&lt;&gt;0),INT(M15/INT(AN5/L15)),0)</f>
        <v>0</v>
      </c>
      <c r="AY15" s="144"/>
      <c r="AZ15" s="144">
        <f>IF(E5&lt;&gt;0,N15-INT(AN7/L15)*L15*BA15,0)</f>
        <v>0</v>
      </c>
      <c r="BA15" s="192">
        <f>IF(AND(E6=BM6,E5&lt;&gt;0),INT(M15/INT(AN7/L15)),0)</f>
        <v>0</v>
      </c>
      <c r="BB15" s="192">
        <f>IF($E$7=$BE$50,(U15*0.2+X15*0.4+AA15*0.6+AD15*0.8+AE15)*Цены!$I$45,
IF($E$7=$BE$51,(U15*0.2+X15*0.4+AA15*0.6+AD15*0.8+AE15)*Цены!$I$46,
IF($E$7=$BE$52,(U15*0.2+X15*0.4+AA15*0.6+AD15*0.8+AE15)*Цены!$I$47,
IF($E$7=$BE$53,(U15*0.2+X15*0.4+AA15*0.6+AD15*0.8+AE15)*Цены!$I$48,
(U15*0.2+X15*0.4+AA15*0.6+AD15*0.8+AE15)*Цены!$I$51))))</f>
        <v>0</v>
      </c>
      <c r="BC15" s="192">
        <f>IF($E$7=$BE$50,(W15*0.34+Z15*0.5+AB15*0.67+AF15)*Цены!$I$69,
IF($E$7=$BE$51,(W15*0.34+Z15*0.5+AB15*0.67+AF15)*Цены!$I$70,
IF($E$7=$BE$52,(W15*0.34+Z15*0.5+AB15*0.67+AF15)*Цены!$I$71,
IF($E$7=$BE$53,(W15*0.34+Z15*0.5+AB15*0.67+AF15)*Цены!$I$71,
(W15*0.34+Z15*0.5+AB15*0.67+AF15)*Цены!$I$75))))</f>
        <v>0</v>
      </c>
      <c r="BD15" s="147"/>
      <c r="BN15" s="1" t="s">
        <v>181</v>
      </c>
    </row>
    <row r="16" spans="2:71" ht="25.05" customHeight="1" thickBot="1" x14ac:dyDescent="0.4">
      <c r="B16" s="445" t="s">
        <v>176</v>
      </c>
      <c r="C16" s="446"/>
      <c r="D16" s="446"/>
      <c r="E16" s="443">
        <v>0</v>
      </c>
      <c r="F16" s="443"/>
      <c r="G16" s="443"/>
      <c r="H16" s="444"/>
      <c r="J16" s="268"/>
      <c r="K16" s="269"/>
      <c r="L16" s="269"/>
      <c r="M16" s="269"/>
      <c r="N16" s="269"/>
      <c r="O16" s="270"/>
      <c r="P16" s="249"/>
      <c r="Q16" s="271"/>
      <c r="R16" s="139">
        <f>SUM(R9:R15)</f>
        <v>28957.16</v>
      </c>
      <c r="S16" s="260"/>
      <c r="T16" s="335"/>
      <c r="U16" s="424" t="s">
        <v>109</v>
      </c>
      <c r="V16" s="424"/>
      <c r="W16" s="424"/>
      <c r="X16" s="424"/>
      <c r="Y16" s="424"/>
      <c r="Z16" s="424"/>
      <c r="AA16" s="424"/>
      <c r="AB16" s="424"/>
      <c r="AC16" s="424"/>
      <c r="AD16" s="424"/>
      <c r="AE16" s="424"/>
      <c r="AF16" s="424"/>
      <c r="AG16" s="425"/>
      <c r="AH16" s="139">
        <f>SUM(AH9:AH15)</f>
        <v>24667.19</v>
      </c>
      <c r="AI16" s="405">
        <v>0.33600000000000002</v>
      </c>
      <c r="AJ16" s="3">
        <f>AI16*L15*M15/1000</f>
        <v>0</v>
      </c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4"/>
      <c r="AY16" s="4"/>
      <c r="AZ16" s="4"/>
      <c r="BA16" s="4"/>
      <c r="BB16" s="4"/>
      <c r="BC16" s="4"/>
      <c r="BD16" s="4"/>
    </row>
    <row r="17" spans="2:66" ht="25.05" customHeight="1" thickBot="1" x14ac:dyDescent="0.35">
      <c r="B17" s="439" t="s">
        <v>169</v>
      </c>
      <c r="C17" s="440"/>
      <c r="D17" s="440"/>
      <c r="E17" s="443" t="s">
        <v>105</v>
      </c>
      <c r="F17" s="443"/>
      <c r="G17" s="443"/>
      <c r="H17" s="444"/>
      <c r="J17" s="12"/>
      <c r="K17" s="6"/>
      <c r="L17" s="6"/>
      <c r="M17" s="6"/>
      <c r="N17" s="6"/>
      <c r="O17" s="13"/>
      <c r="P17" s="5"/>
      <c r="Q17" s="5"/>
      <c r="R17" s="6"/>
      <c r="S17" s="5"/>
      <c r="T17" s="5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3"/>
      <c r="AJ17" s="55">
        <f>IF(E6=BM6,AJ9+AJ13+AJ14+AJ16,AJ9+AJ13+AJ14+AJ15)</f>
        <v>12.506501999999999</v>
      </c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BE17" s="1" t="s">
        <v>184</v>
      </c>
    </row>
    <row r="18" spans="2:66" ht="25.05" customHeight="1" thickBot="1" x14ac:dyDescent="0.35">
      <c r="B18" s="447" t="s">
        <v>170</v>
      </c>
      <c r="C18" s="448"/>
      <c r="D18" s="448"/>
      <c r="E18" s="450" t="s">
        <v>105</v>
      </c>
      <c r="F18" s="450"/>
      <c r="G18" s="450"/>
      <c r="H18" s="451"/>
      <c r="J18" s="12"/>
      <c r="K18" s="6"/>
      <c r="L18" s="6"/>
      <c r="M18" s="6"/>
      <c r="N18" s="6"/>
      <c r="O18" s="13"/>
      <c r="P18" s="5"/>
      <c r="Q18" s="5"/>
      <c r="R18" s="6"/>
      <c r="S18" s="5"/>
      <c r="T18" s="5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3"/>
      <c r="AJ18" s="148">
        <f>IF(OR(E8=BE11,E8=BE12),AJ17/E10,AJ17/E9)</f>
        <v>4.1688339999999995</v>
      </c>
      <c r="AK18" s="3"/>
      <c r="AL18" s="3"/>
      <c r="AM18" s="3"/>
      <c r="AN18" s="3"/>
      <c r="AO18" s="3"/>
      <c r="AP18" s="245" t="s">
        <v>455</v>
      </c>
      <c r="AQ18" s="3"/>
      <c r="AR18" s="3"/>
      <c r="AS18" s="3"/>
      <c r="AT18" s="3"/>
      <c r="AU18" s="3"/>
      <c r="AV18" s="3"/>
      <c r="AW18" s="3"/>
      <c r="BE18" s="1" t="s">
        <v>181</v>
      </c>
    </row>
    <row r="19" spans="2:66" ht="25.05" customHeight="1" thickBot="1" x14ac:dyDescent="0.35">
      <c r="J19" s="359" t="s">
        <v>187</v>
      </c>
      <c r="K19" s="345"/>
      <c r="L19" s="345"/>
      <c r="M19" s="6"/>
      <c r="N19" s="6"/>
      <c r="O19" s="13"/>
      <c r="P19" s="5"/>
      <c r="Q19" s="5"/>
      <c r="R19" s="6"/>
      <c r="S19" s="5"/>
      <c r="T19" s="336"/>
      <c r="U19" s="426" t="s">
        <v>106</v>
      </c>
      <c r="V19" s="426"/>
      <c r="W19" s="426"/>
      <c r="X19" s="426"/>
      <c r="Y19" s="426"/>
      <c r="Z19" s="426"/>
      <c r="AA19" s="426"/>
      <c r="AB19" s="426"/>
      <c r="AC19" s="426"/>
      <c r="AD19" s="426"/>
      <c r="AE19" s="426"/>
      <c r="AF19" s="426"/>
      <c r="AG19" s="426"/>
      <c r="AH19" s="427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</row>
    <row r="20" spans="2:66" ht="25.05" customHeight="1" thickBot="1" x14ac:dyDescent="0.35">
      <c r="B20" s="57"/>
      <c r="C20" s="58"/>
      <c r="D20" s="58"/>
      <c r="E20" s="58"/>
      <c r="F20" s="58"/>
      <c r="G20" s="58"/>
      <c r="H20" s="58"/>
      <c r="J20" s="468" t="s">
        <v>0</v>
      </c>
      <c r="K20" s="469"/>
      <c r="L20" s="469"/>
      <c r="M20" s="469"/>
      <c r="N20" s="162" t="s">
        <v>1</v>
      </c>
      <c r="O20" s="243" t="s">
        <v>9</v>
      </c>
      <c r="P20" s="143"/>
      <c r="Q20" s="143"/>
      <c r="R20" s="265" t="s">
        <v>25</v>
      </c>
      <c r="S20" s="143"/>
      <c r="T20" s="333"/>
      <c r="U20" s="97">
        <v>1000</v>
      </c>
      <c r="V20" s="97">
        <v>1250</v>
      </c>
      <c r="W20" s="97">
        <v>1800</v>
      </c>
      <c r="X20" s="97">
        <v>2000</v>
      </c>
      <c r="Y20" s="97">
        <v>2500</v>
      </c>
      <c r="Z20" s="97">
        <v>2700</v>
      </c>
      <c r="AA20" s="97">
        <v>3000</v>
      </c>
      <c r="AB20" s="97">
        <v>3600</v>
      </c>
      <c r="AC20" s="97">
        <v>3750</v>
      </c>
      <c r="AD20" s="97">
        <v>4000</v>
      </c>
      <c r="AE20" s="97">
        <v>5000</v>
      </c>
      <c r="AF20" s="97">
        <v>5400</v>
      </c>
      <c r="AG20" s="209" t="s">
        <v>107</v>
      </c>
      <c r="AH20" s="53" t="s">
        <v>25</v>
      </c>
      <c r="AI20" s="54"/>
      <c r="AJ20" s="54"/>
      <c r="AK20" s="97">
        <v>1000</v>
      </c>
      <c r="AL20" s="97">
        <v>1250</v>
      </c>
      <c r="AM20" s="97">
        <v>1800</v>
      </c>
      <c r="AN20" s="97">
        <v>2000</v>
      </c>
      <c r="AO20" s="97">
        <v>2500</v>
      </c>
      <c r="AP20" s="97">
        <v>2700</v>
      </c>
      <c r="AQ20" s="97">
        <v>3000</v>
      </c>
      <c r="AR20" s="97">
        <v>3600</v>
      </c>
      <c r="AS20" s="97">
        <v>3750</v>
      </c>
      <c r="AT20" s="97">
        <v>4000</v>
      </c>
      <c r="AU20" s="97">
        <v>5000</v>
      </c>
      <c r="AV20" s="145">
        <v>5400</v>
      </c>
      <c r="AW20" s="191"/>
      <c r="AX20" s="190"/>
      <c r="AY20" s="190"/>
      <c r="AZ20" s="190"/>
      <c r="BA20" s="190"/>
      <c r="BB20" s="190"/>
      <c r="BC20" s="190"/>
      <c r="BE20" s="1" t="s">
        <v>91</v>
      </c>
    </row>
    <row r="21" spans="2:66" ht="25.05" customHeight="1" thickBot="1" x14ac:dyDescent="0.35">
      <c r="B21" s="59"/>
      <c r="C21" s="60"/>
      <c r="D21" s="60"/>
      <c r="E21" s="60"/>
      <c r="F21" s="60"/>
      <c r="G21" s="60"/>
      <c r="H21" s="61"/>
      <c r="J21" s="421" t="s">
        <v>166</v>
      </c>
      <c r="K21" s="422"/>
      <c r="L21" s="422"/>
      <c r="M21" s="422"/>
      <c r="N21" s="210" t="s">
        <v>230</v>
      </c>
      <c r="O21" s="234">
        <f>E9</f>
        <v>3</v>
      </c>
      <c r="P21" s="252"/>
      <c r="Q21" s="252"/>
      <c r="R21" s="266">
        <f>O21*Цены!I128</f>
        <v>7107.0300000000007</v>
      </c>
      <c r="S21" s="247"/>
      <c r="T21" s="331" t="str">
        <f>J9</f>
        <v>вертикальный профиль</v>
      </c>
      <c r="U21" s="232">
        <f>AK21</f>
        <v>0</v>
      </c>
      <c r="V21" s="232"/>
      <c r="W21" s="232">
        <f t="shared" ref="W21:W23" si="14">AM21</f>
        <v>0</v>
      </c>
      <c r="X21" s="232">
        <f t="shared" ref="X21:X23" si="15">AN21</f>
        <v>0</v>
      </c>
      <c r="Y21" s="232">
        <f t="shared" ref="Y21:Y23" si="16">AO21</f>
        <v>0</v>
      </c>
      <c r="Z21" s="232">
        <f t="shared" ref="Z21:Z23" si="17">AP21</f>
        <v>0</v>
      </c>
      <c r="AA21" s="232">
        <f t="shared" ref="AA21:AA23" si="18">AQ21</f>
        <v>0</v>
      </c>
      <c r="AB21" s="232">
        <f t="shared" ref="AB21:AB23" si="19">AR21</f>
        <v>0</v>
      </c>
      <c r="AC21" s="232"/>
      <c r="AD21" s="232">
        <f t="shared" ref="AD21:AD23" si="20">AT21</f>
        <v>0</v>
      </c>
      <c r="AE21" s="232">
        <f t="shared" ref="AE21:AE23" si="21">AU21</f>
        <v>0</v>
      </c>
      <c r="AF21" s="232">
        <f t="shared" ref="AF21:AF23" si="22">AV21</f>
        <v>3</v>
      </c>
      <c r="AG21" s="133"/>
      <c r="AH21" s="246">
        <f>R9</f>
        <v>13160.939999999999</v>
      </c>
      <c r="AI21" s="54"/>
      <c r="AJ21" s="54"/>
      <c r="AK21" s="144"/>
      <c r="AL21" s="144"/>
      <c r="AM21" s="144"/>
      <c r="AN21" s="144"/>
      <c r="AO21" s="144"/>
      <c r="AP21" s="144"/>
      <c r="AQ21" s="144"/>
      <c r="AR21" s="144"/>
      <c r="AS21" s="144"/>
      <c r="AT21" s="144"/>
      <c r="AU21" s="144"/>
      <c r="AV21" s="325">
        <f>O9</f>
        <v>3</v>
      </c>
      <c r="AW21" s="144"/>
      <c r="AX21" s="192"/>
      <c r="AY21" s="192"/>
      <c r="AZ21" s="192"/>
      <c r="BA21" s="192"/>
      <c r="BB21" s="192"/>
      <c r="BC21" s="192"/>
      <c r="BE21" s="1" t="s">
        <v>92</v>
      </c>
      <c r="BN21" s="1" t="s">
        <v>449</v>
      </c>
    </row>
    <row r="22" spans="2:66" ht="25.05" customHeight="1" thickBot="1" x14ac:dyDescent="0.35">
      <c r="B22" s="208" t="s">
        <v>113</v>
      </c>
      <c r="C22" s="63">
        <f>E5+1</f>
        <v>1</v>
      </c>
      <c r="D22" s="64" t="str">
        <f>IF(C22&gt;5,BE33,BE34)</f>
        <v xml:space="preserve"> </v>
      </c>
      <c r="E22" s="358"/>
      <c r="F22" s="358"/>
      <c r="G22" s="358"/>
      <c r="H22" s="65"/>
      <c r="J22" s="421" t="s">
        <v>73</v>
      </c>
      <c r="K22" s="422"/>
      <c r="L22" s="422"/>
      <c r="M22" s="422"/>
      <c r="N22" s="210" t="s">
        <v>231</v>
      </c>
      <c r="O22" s="234">
        <f>IF(OR(E8=BE7,E8=BE8,E8=BE9,E8=BE10),O21,
IF(AND(E8=BE11,E10&gt;1),1,
IF(AND(E8=BE12,E10&gt;1),3,
IF(E8=BE13,3,
IF(E8=BE14,6,0)))))</f>
        <v>3</v>
      </c>
      <c r="P22" s="252"/>
      <c r="Q22" s="252"/>
      <c r="R22" s="266">
        <f>O22*Цены!I130</f>
        <v>408.78</v>
      </c>
      <c r="S22" s="247"/>
      <c r="T22" s="331" t="str">
        <f t="shared" ref="T22:T27" si="23">J10</f>
        <v>направляющая верхняя</v>
      </c>
      <c r="U22" s="232">
        <f>AK22</f>
        <v>0</v>
      </c>
      <c r="V22" s="232"/>
      <c r="W22" s="232">
        <f t="shared" si="14"/>
        <v>0</v>
      </c>
      <c r="X22" s="232">
        <f t="shared" si="15"/>
        <v>0</v>
      </c>
      <c r="Y22" s="232">
        <f t="shared" si="16"/>
        <v>1</v>
      </c>
      <c r="Z22" s="232">
        <f t="shared" si="17"/>
        <v>0</v>
      </c>
      <c r="AA22" s="232">
        <f t="shared" si="18"/>
        <v>0</v>
      </c>
      <c r="AB22" s="232">
        <f t="shared" si="19"/>
        <v>0</v>
      </c>
      <c r="AC22" s="232"/>
      <c r="AD22" s="232">
        <f t="shared" si="20"/>
        <v>0</v>
      </c>
      <c r="AE22" s="232">
        <f t="shared" si="21"/>
        <v>1</v>
      </c>
      <c r="AF22" s="232">
        <f t="shared" si="22"/>
        <v>0</v>
      </c>
      <c r="AG22" s="346">
        <f>Y22*Y20+AE22*AE20</f>
        <v>7500</v>
      </c>
      <c r="AH22" s="347">
        <f>IF(OR($E$7=$BE$51,$E$7=$BE$57,$E$7=$BE$54),Y22*Цены!$I$25*0.5+AE22*Цены!$I$25,
Y22*Цены!$I$24*0.5+AE22*Цены!$I$24)</f>
        <v>7073.13</v>
      </c>
      <c r="AI22" s="54"/>
      <c r="AJ22" s="54"/>
      <c r="AK22" s="146"/>
      <c r="AL22" s="146"/>
      <c r="AM22" s="146"/>
      <c r="AN22" s="146"/>
      <c r="AO22" s="144">
        <f>IF(AND(AW22&gt;0,AW22&lt;=2500),1,0)</f>
        <v>1</v>
      </c>
      <c r="AP22" s="146"/>
      <c r="AQ22" s="146"/>
      <c r="AR22" s="146"/>
      <c r="AS22" s="146"/>
      <c r="AT22" s="146"/>
      <c r="AU22" s="144">
        <f>IF(AND(AW22&gt;2500,AW22&lt;=5000),AX22+1,AX22)</f>
        <v>1</v>
      </c>
      <c r="AV22" s="146"/>
      <c r="AW22" s="189">
        <f>AW10</f>
        <v>2500</v>
      </c>
      <c r="AX22" s="189">
        <f>AX10</f>
        <v>1</v>
      </c>
      <c r="AY22" s="144"/>
      <c r="AZ22" s="144"/>
      <c r="BA22" s="144"/>
      <c r="BB22" s="144"/>
      <c r="BC22" s="144"/>
      <c r="BN22" s="1" t="s">
        <v>454</v>
      </c>
    </row>
    <row r="23" spans="2:66" ht="25.05" customHeight="1" x14ac:dyDescent="0.3">
      <c r="B23" s="67"/>
      <c r="C23" s="68"/>
      <c r="D23" s="68"/>
      <c r="E23" s="68"/>
      <c r="F23" s="68"/>
      <c r="G23" s="68"/>
      <c r="H23" s="69"/>
      <c r="J23" s="436" t="s">
        <v>79</v>
      </c>
      <c r="K23" s="437"/>
      <c r="L23" s="437"/>
      <c r="M23" s="437"/>
      <c r="N23" s="211" t="s">
        <v>232</v>
      </c>
      <c r="O23" s="234">
        <f>IF(OR(E8=BE7,E8=BE9,E8=BE13),ROUNDUP((O21*2-O29)/2,0),
IF(AND(O29=0,OR(E8=BE8,E8=BE10)),2,
IF(AND(O29=0,E8=BE14),3,
IF(AND(E12=BE23,OR(E8=BE8,E8=BE10)),0,
IF(AND(E12=BE23,E8=BE14),1,
IF(AND(E12=BE24,OR(E8=BE8,E8=BE10)),ROUNDUP((O21*2-O29)/2,0),
IF(AND(E12=BE24,E8=BE14),ROUNDUP(((O21-2)*2-O29)/2+1,0),
IF(OR(AND(E11=BE23,OR(E8=BE12,E8=BE11),O29=0),AND(E11=BE24,OR(E8=BE12,E8=BE11),O29&lt;&gt;0),AND(E11=BE24,OR(E8=BE12,E8=BE11),O29=0)),1,0))))))))</f>
        <v>1</v>
      </c>
      <c r="P23" s="252"/>
      <c r="Q23" s="252"/>
      <c r="R23" s="266">
        <f>O23*Цены!I136</f>
        <v>426.41</v>
      </c>
      <c r="S23" s="247"/>
      <c r="T23" s="331" t="str">
        <f t="shared" si="23"/>
        <v>накладка декоративная</v>
      </c>
      <c r="U23" s="423">
        <f>AK23</f>
        <v>0</v>
      </c>
      <c r="V23" s="423"/>
      <c r="W23" s="423">
        <f t="shared" si="14"/>
        <v>0</v>
      </c>
      <c r="X23" s="423">
        <f t="shared" si="15"/>
        <v>0</v>
      </c>
      <c r="Y23" s="423">
        <f t="shared" si="16"/>
        <v>0</v>
      </c>
      <c r="Z23" s="423">
        <f t="shared" si="17"/>
        <v>0</v>
      </c>
      <c r="AA23" s="423">
        <f t="shared" si="18"/>
        <v>0</v>
      </c>
      <c r="AB23" s="423">
        <f t="shared" si="19"/>
        <v>0</v>
      </c>
      <c r="AC23" s="423"/>
      <c r="AD23" s="423">
        <f t="shared" si="20"/>
        <v>0</v>
      </c>
      <c r="AE23" s="423">
        <f t="shared" si="21"/>
        <v>1</v>
      </c>
      <c r="AF23" s="423">
        <f t="shared" si="22"/>
        <v>0</v>
      </c>
      <c r="AG23" s="435">
        <f>Y23*Y20+AE23*AE20</f>
        <v>5000</v>
      </c>
      <c r="AH23" s="431">
        <f>IF($E$7=$BE$50,(Y23*0.5+AE23)*Цены!$I$16,
IF($E$7=$BE$51,(Y23*0.5+AE23)*Цены!$I$17,
IF($E$7=$BE$52,(Y23*0.5+AE23)*Цены!$I$18,
IF($E$7=BE65,(Y23*0.5+AE23)*Цены!$I$19,
(Y23*0.5+AE23)*Цены!$I$22))))</f>
        <v>1534.73</v>
      </c>
      <c r="AI23" s="54"/>
      <c r="AJ23" s="54"/>
      <c r="AK23" s="146"/>
      <c r="AL23" s="146"/>
      <c r="AM23" s="146"/>
      <c r="AN23" s="146"/>
      <c r="AO23" s="144">
        <f>IF(AND(AW23&gt;0,AW23&lt;=2500),1,0)</f>
        <v>0</v>
      </c>
      <c r="AP23" s="146"/>
      <c r="AQ23" s="146"/>
      <c r="AR23" s="146"/>
      <c r="AS23" s="146"/>
      <c r="AT23" s="146"/>
      <c r="AU23" s="144">
        <f>IF(AND(AW23&gt;2500,AW23&lt;=5000),AX23+1,AX23)</f>
        <v>1</v>
      </c>
      <c r="AV23" s="146"/>
      <c r="AW23" s="189">
        <f t="shared" ref="AW23:AX27" si="24">AW11</f>
        <v>0</v>
      </c>
      <c r="AX23" s="189">
        <f t="shared" si="24"/>
        <v>1</v>
      </c>
      <c r="AY23" s="144"/>
      <c r="AZ23" s="144"/>
      <c r="BA23" s="192"/>
      <c r="BB23" s="192"/>
      <c r="BC23" s="192"/>
      <c r="BE23" s="1" t="s">
        <v>104</v>
      </c>
      <c r="BN23" s="1" t="s">
        <v>451</v>
      </c>
    </row>
    <row r="24" spans="2:66" ht="25.05" customHeight="1" x14ac:dyDescent="0.3">
      <c r="B24" s="67"/>
      <c r="C24" s="68"/>
      <c r="D24" s="68"/>
      <c r="E24" s="68"/>
      <c r="F24" s="68"/>
      <c r="G24" s="68"/>
      <c r="H24" s="69"/>
      <c r="J24" s="419" t="s">
        <v>80</v>
      </c>
      <c r="K24" s="420"/>
      <c r="L24" s="420"/>
      <c r="M24" s="420"/>
      <c r="N24" s="143" t="s">
        <v>242</v>
      </c>
      <c r="O24" s="372">
        <f>IF(OR(E8=BE7,E8=BE9,E8=BE13),O29,
IF(AND(O29&lt;&gt;0,E12=BE23,OR(E8=BE8,E8=BE10,E8=BE14)),4,
IF(AND(O29&lt;&gt;0,E12=BE24,OR(E8=BE8,E8=BE10,E8=BE14)),O29,
IF(AND(E11=BE23,E8=BE11,O29&lt;&gt;0),2,
IF(AND(E11=BE24,E8=BE11,O29&lt;&gt;0),O29,
IF(AND(E11=BE23,E8=BE12,O29&lt;&gt;0),3,
IF(AND(E11=BE24,E8=BE12,O29&lt;&gt;0),O29+1,
IF(AND(OR(E11=BE24,E11=BE23),E8=BE12,O29=0),1,0))))))))</f>
        <v>1</v>
      </c>
      <c r="P24" s="253"/>
      <c r="Q24" s="253"/>
      <c r="R24" s="266">
        <f>O24*Цены!I137</f>
        <v>96.26</v>
      </c>
      <c r="S24" s="247"/>
      <c r="T24" s="331" t="str">
        <f t="shared" si="23"/>
        <v>накладка декоративная</v>
      </c>
      <c r="U24" s="423"/>
      <c r="V24" s="423"/>
      <c r="W24" s="423"/>
      <c r="X24" s="423"/>
      <c r="Y24" s="423"/>
      <c r="Z24" s="423"/>
      <c r="AA24" s="423"/>
      <c r="AB24" s="423"/>
      <c r="AC24" s="423"/>
      <c r="AD24" s="423"/>
      <c r="AE24" s="423"/>
      <c r="AF24" s="423"/>
      <c r="AG24" s="435"/>
      <c r="AH24" s="431"/>
      <c r="AI24" s="54"/>
      <c r="AJ24" s="54"/>
      <c r="AK24" s="144"/>
      <c r="AL24" s="144"/>
      <c r="AM24" s="144"/>
      <c r="AN24" s="144"/>
      <c r="AO24" s="144"/>
      <c r="AP24" s="144"/>
      <c r="AQ24" s="144"/>
      <c r="AR24" s="144"/>
      <c r="AS24" s="144"/>
      <c r="AT24" s="144"/>
      <c r="AU24" s="144"/>
      <c r="AV24" s="144"/>
      <c r="AW24" s="189"/>
      <c r="AX24" s="189"/>
      <c r="AY24" s="144"/>
      <c r="AZ24" s="144"/>
      <c r="BA24" s="192"/>
      <c r="BB24" s="192"/>
      <c r="BC24" s="192"/>
      <c r="BE24" s="1" t="s">
        <v>105</v>
      </c>
      <c r="BN24" s="1" t="s">
        <v>452</v>
      </c>
    </row>
    <row r="25" spans="2:66" ht="25.05" customHeight="1" x14ac:dyDescent="0.3">
      <c r="B25" s="70" t="s">
        <v>114</v>
      </c>
      <c r="C25" s="357" t="s">
        <v>115</v>
      </c>
      <c r="D25" s="71" t="s">
        <v>84</v>
      </c>
      <c r="E25" s="357" t="s">
        <v>116</v>
      </c>
      <c r="F25" s="357" t="s">
        <v>117</v>
      </c>
      <c r="G25" s="357" t="s">
        <v>133</v>
      </c>
      <c r="H25" s="72" t="s">
        <v>134</v>
      </c>
      <c r="J25" s="421" t="s">
        <v>23</v>
      </c>
      <c r="K25" s="422"/>
      <c r="L25" s="422"/>
      <c r="M25" s="422"/>
      <c r="N25" s="210" t="s">
        <v>234</v>
      </c>
      <c r="O25" s="235">
        <f>IF(OR(AND(E8=BE10,E12=BE23),AND(E8=BE8,E12=BE23),AND(E8=BE14,E12=BE23)),1,0)</f>
        <v>0</v>
      </c>
      <c r="P25" s="254"/>
      <c r="Q25" s="254"/>
      <c r="R25" s="266">
        <f>O25*Цены!I107</f>
        <v>0</v>
      </c>
      <c r="S25" s="247"/>
      <c r="T25" s="331" t="str">
        <f t="shared" si="23"/>
        <v>рамка верхняя</v>
      </c>
      <c r="U25" s="348">
        <f>AK25</f>
        <v>0</v>
      </c>
      <c r="V25" s="348">
        <f t="shared" ref="V25:AF27" si="25">AL25</f>
        <v>0</v>
      </c>
      <c r="W25" s="348">
        <f t="shared" si="25"/>
        <v>0</v>
      </c>
      <c r="X25" s="348">
        <f t="shared" si="25"/>
        <v>0</v>
      </c>
      <c r="Y25" s="348">
        <f t="shared" si="25"/>
        <v>1</v>
      </c>
      <c r="Z25" s="348">
        <f t="shared" si="25"/>
        <v>0</v>
      </c>
      <c r="AA25" s="348">
        <f t="shared" si="25"/>
        <v>0</v>
      </c>
      <c r="AB25" s="348">
        <f t="shared" si="25"/>
        <v>0</v>
      </c>
      <c r="AC25" s="348">
        <f t="shared" si="25"/>
        <v>0</v>
      </c>
      <c r="AD25" s="348">
        <f t="shared" si="25"/>
        <v>0</v>
      </c>
      <c r="AE25" s="348">
        <f t="shared" si="25"/>
        <v>0</v>
      </c>
      <c r="AF25" s="348">
        <f t="shared" si="25"/>
        <v>0</v>
      </c>
      <c r="AG25" s="346">
        <f>V25*V20+Y25*Y20+AC25*AC20+AE25*AE20</f>
        <v>2500</v>
      </c>
      <c r="AH25" s="355">
        <f>IF($E$7=$BE$50,(V25*0.25+Y25*0.5+AC25*0.75+AE25)*Цены!$I$29,
IF($E$7=$BE$51,(V25*0.25+Y25*0.5+AC25*0.75+AE25)*Цены!$I$30,
IF($E$7=$BE$52,(V25*0.25+Y25*0.5+AC25*0.75+AE25)*Цены!$I$31,
IF($E$7=$BE$53,(V25*0.25+Y25*0.5+AC25*0.75+AE25)*Цены!$I$32,
(V25*0.25+Y25*0.5+AC25*0.75+AE25)*Цены!$I$35))))</f>
        <v>1324.43</v>
      </c>
      <c r="AI25" s="54"/>
      <c r="AJ25" s="54"/>
      <c r="AK25" s="146"/>
      <c r="AL25" s="144">
        <f>IF(AND(AW25&gt;0,AW25&lt;=1250),1,0)</f>
        <v>0</v>
      </c>
      <c r="AM25" s="146"/>
      <c r="AN25" s="146"/>
      <c r="AO25" s="144">
        <f>IF(AND(AW25&gt;1250,AW25&lt;=2500),1,0)</f>
        <v>1</v>
      </c>
      <c r="AP25" s="146"/>
      <c r="AQ25" s="146"/>
      <c r="AR25" s="146"/>
      <c r="AS25" s="144">
        <f>IF(AND(AW25&gt;2500,AW25&lt;=3750),1,0)</f>
        <v>0</v>
      </c>
      <c r="AT25" s="146"/>
      <c r="AU25" s="144">
        <f>IF(AND(AW25&gt;3750,AW25&lt;=5000),AX25+1,AX25)</f>
        <v>0</v>
      </c>
      <c r="AV25" s="146"/>
      <c r="AW25" s="189">
        <f t="shared" si="24"/>
        <v>2334</v>
      </c>
      <c r="AX25" s="189">
        <f t="shared" si="24"/>
        <v>0</v>
      </c>
      <c r="AY25" s="144"/>
      <c r="AZ25" s="144"/>
      <c r="BA25" s="192"/>
      <c r="BB25" s="192"/>
      <c r="BC25" s="192"/>
      <c r="BN25" s="1" t="s">
        <v>453</v>
      </c>
    </row>
    <row r="26" spans="2:66" ht="25.05" customHeight="1" x14ac:dyDescent="0.3">
      <c r="B26" s="73" t="s">
        <v>118</v>
      </c>
      <c r="C26" s="15" t="s">
        <v>13</v>
      </c>
      <c r="D26" s="96">
        <v>0</v>
      </c>
      <c r="E26" s="16">
        <f>K4-IF(E30=0,0,IF(C30=BE27,E30,IF(C30=BE28,E30+2,E30+3)))-IF(E29=0,0,IF(C29=BE27,E29,IF(C29=BE28,E29+2,E29+3)))-IF(E28=0,0,IF(C28=BE27,E28,IF(C28=BE28,E28+2,E28+3)))-IF(E27=0,0,IF(C27=BE27,E27,IF(C27=BE28,E27+2,E27+3)))-44-IF(C26=BE28,2,IF(C26=BE29,3,0))-E5*BO6</f>
        <v>2493</v>
      </c>
      <c r="F26" s="74">
        <f>IF(C26=$BE$29,$K$5-63,IF(C26=$BE$28,$K$5-62,$K$5-60))</f>
        <v>793</v>
      </c>
      <c r="G26" s="75">
        <f>$E$9</f>
        <v>3</v>
      </c>
      <c r="H26" s="76">
        <f>E26*F26*D26*G26/1000000</f>
        <v>0</v>
      </c>
      <c r="J26" s="417" t="s">
        <v>263</v>
      </c>
      <c r="K26" s="418"/>
      <c r="L26" s="418"/>
      <c r="M26" s="418"/>
      <c r="N26" s="210" t="s">
        <v>261</v>
      </c>
      <c r="O26" s="235">
        <f>IF(E11=BE24,0,IF(E8=BE11,E10-1,IF(E8=BE12,E10-2,0)))</f>
        <v>0</v>
      </c>
      <c r="P26" s="254"/>
      <c r="Q26" s="254"/>
      <c r="R26" s="266">
        <f>O26*Цены!I108</f>
        <v>0</v>
      </c>
      <c r="S26" s="247"/>
      <c r="T26" s="331" t="str">
        <f t="shared" si="23"/>
        <v>рамка нижняя</v>
      </c>
      <c r="U26" s="348">
        <f t="shared" ref="U26" si="26">AK26</f>
        <v>0</v>
      </c>
      <c r="V26" s="348">
        <f t="shared" si="25"/>
        <v>0</v>
      </c>
      <c r="W26" s="348">
        <f t="shared" si="25"/>
        <v>0</v>
      </c>
      <c r="X26" s="348">
        <f t="shared" si="25"/>
        <v>0</v>
      </c>
      <c r="Y26" s="348">
        <f t="shared" si="25"/>
        <v>1</v>
      </c>
      <c r="Z26" s="348">
        <f t="shared" si="25"/>
        <v>0</v>
      </c>
      <c r="AA26" s="348">
        <f t="shared" si="25"/>
        <v>0</v>
      </c>
      <c r="AB26" s="348">
        <f t="shared" si="25"/>
        <v>0</v>
      </c>
      <c r="AC26" s="348">
        <f t="shared" si="25"/>
        <v>0</v>
      </c>
      <c r="AD26" s="348">
        <f t="shared" si="25"/>
        <v>0</v>
      </c>
      <c r="AE26" s="348">
        <f t="shared" si="25"/>
        <v>0</v>
      </c>
      <c r="AF26" s="348">
        <f t="shared" si="25"/>
        <v>0</v>
      </c>
      <c r="AG26" s="346">
        <f>V26*V20+Y26*Y20+AC26*AC20+AE26*AE20</f>
        <v>2500</v>
      </c>
      <c r="AH26" s="355">
        <f>IF($E$7=$BE$50,(V26*0.25+Y26*0.5+AC26*0.75+AE26)*Цены!$I$37,
IF($E$7=$BE$51,(V26*0.25+Y26*0.5+AC26*0.75+AE26)*Цены!$I$38,
IF($E$7=$BE$52,(V26*0.25+Y26*0.5+AC26*0.75+AE26)*Цены!$I$39,
IF($E$7=$BE$53,(V26*0.25+Y26*0.5+AC26*0.75+AE26)*Цены!$I$40,
(V26*0.25+Y26*0.5+AC26*0.75+AE26)*Цены!$I$43))))</f>
        <v>1090.895</v>
      </c>
      <c r="AI26" s="54"/>
      <c r="AJ26" s="54"/>
      <c r="AK26" s="146"/>
      <c r="AL26" s="144">
        <f>IF(AND(AW26&gt;0,AW26&lt;=1250),1,0)</f>
        <v>0</v>
      </c>
      <c r="AM26" s="146"/>
      <c r="AN26" s="146"/>
      <c r="AO26" s="144">
        <f>IF(AND(AW26&gt;1250,AW26&lt;=2500),1,0)</f>
        <v>1</v>
      </c>
      <c r="AP26" s="146"/>
      <c r="AQ26" s="146"/>
      <c r="AR26" s="146"/>
      <c r="AS26" s="144">
        <f>IF(AND(AW26&gt;2500,AW26&lt;=3750),1,0)</f>
        <v>0</v>
      </c>
      <c r="AT26" s="146"/>
      <c r="AU26" s="144">
        <f>IF(AND(AW26&gt;3750,AW26&lt;=5000),AX26+1,AX26)</f>
        <v>0</v>
      </c>
      <c r="AV26" s="146"/>
      <c r="AW26" s="189">
        <f t="shared" si="24"/>
        <v>2334</v>
      </c>
      <c r="AX26" s="189">
        <f t="shared" si="24"/>
        <v>0</v>
      </c>
      <c r="AY26" s="144"/>
      <c r="AZ26" s="144"/>
      <c r="BA26" s="192"/>
      <c r="BB26" s="192" t="s">
        <v>277</v>
      </c>
      <c r="BC26" s="193" t="s">
        <v>278</v>
      </c>
      <c r="BK26" s="309">
        <f>IF(E26&lt;&gt;0,1,0)</f>
        <v>1</v>
      </c>
      <c r="BN26" s="1" t="s">
        <v>450</v>
      </c>
    </row>
    <row r="27" spans="2:66" ht="25.05" customHeight="1" thickBot="1" x14ac:dyDescent="0.35">
      <c r="B27" s="73" t="s">
        <v>119</v>
      </c>
      <c r="C27" s="15" t="s">
        <v>13</v>
      </c>
      <c r="D27" s="96">
        <v>0</v>
      </c>
      <c r="E27" s="17">
        <v>0</v>
      </c>
      <c r="F27" s="74">
        <f>IF(C27=$BE$29,$K$5-63,IF(C27=$BE$28,$K$5-62,$K$5-60))</f>
        <v>793</v>
      </c>
      <c r="G27" s="75">
        <f>IF(E27&lt;&gt;0,$E$9,0)</f>
        <v>0</v>
      </c>
      <c r="H27" s="76">
        <f t="shared" ref="H27:H30" si="27">E27*F27*D27*G27/1000000</f>
        <v>0</v>
      </c>
      <c r="J27" s="415" t="s">
        <v>264</v>
      </c>
      <c r="K27" s="416"/>
      <c r="L27" s="416"/>
      <c r="M27" s="416"/>
      <c r="N27" s="210" t="s">
        <v>265</v>
      </c>
      <c r="O27" s="236">
        <f>IF(AND(O26&gt;0,E11=BE23),1,0)</f>
        <v>0</v>
      </c>
      <c r="P27" s="255"/>
      <c r="Q27" s="255"/>
      <c r="R27" s="266">
        <f>O27*Цены!I109</f>
        <v>0</v>
      </c>
      <c r="S27" s="247"/>
      <c r="T27" s="331" t="str">
        <f t="shared" si="23"/>
        <v>рамка средняя 4в1</v>
      </c>
      <c r="U27" s="348"/>
      <c r="V27" s="348">
        <f t="shared" si="25"/>
        <v>0</v>
      </c>
      <c r="W27" s="348">
        <f t="shared" si="25"/>
        <v>0</v>
      </c>
      <c r="X27" s="348"/>
      <c r="Y27" s="348">
        <f t="shared" si="25"/>
        <v>0</v>
      </c>
      <c r="Z27" s="348">
        <f t="shared" si="25"/>
        <v>0</v>
      </c>
      <c r="AA27" s="348"/>
      <c r="AB27" s="348">
        <f t="shared" si="25"/>
        <v>0</v>
      </c>
      <c r="AC27" s="348">
        <f t="shared" si="25"/>
        <v>0</v>
      </c>
      <c r="AD27" s="348"/>
      <c r="AE27" s="348">
        <f t="shared" si="25"/>
        <v>0</v>
      </c>
      <c r="AF27" s="348">
        <f t="shared" si="25"/>
        <v>0</v>
      </c>
      <c r="AG27" s="346">
        <f>V27*V20+W27*W20+Y27*Y20+Z27*Z20+AB27*AB20+AC27*AC20+AE27*AE20+AF27*AF20</f>
        <v>0</v>
      </c>
      <c r="AH27" s="317">
        <f>IF(E6=BM6,BC27,BB27)</f>
        <v>0</v>
      </c>
      <c r="AI27" s="54"/>
      <c r="AJ27" s="54"/>
      <c r="AK27" s="146"/>
      <c r="AL27" s="194">
        <f>IF(AND(J15=BM7,AW27&gt;0,AW27&lt;=1250),1,0)</f>
        <v>0</v>
      </c>
      <c r="AM27" s="195">
        <f>IF(AND(J15=BM6,AZ27&gt;0,AZ27&lt;=1800),1,0)</f>
        <v>0</v>
      </c>
      <c r="AN27" s="146"/>
      <c r="AO27" s="194">
        <f>IF(AND(J15=BM7,AW27&gt;1250,AW27&lt;=2500),1,0)</f>
        <v>0</v>
      </c>
      <c r="AP27" s="195">
        <f>IF(AND(J15=BM6,AZ27&gt;1800,AZ27&lt;=2700),1,0)</f>
        <v>0</v>
      </c>
      <c r="AQ27" s="146"/>
      <c r="AR27" s="195">
        <f>IF(AND(J15=BM6,AZ27&gt;2700,AZ27&lt;=3600),1,0)</f>
        <v>0</v>
      </c>
      <c r="AS27" s="194">
        <f>IF(AND(J15=BM7,AW27&gt;2500,AW27&lt;=3750),1,0)</f>
        <v>0</v>
      </c>
      <c r="AT27" s="146"/>
      <c r="AU27" s="194">
        <f>IF(AND(J15=BM7,AW27&gt;3750,AW27&lt;=5000),AX27+1,AX27)</f>
        <v>0</v>
      </c>
      <c r="AV27" s="195">
        <f>IF(AND(J15=BM6,AZ27&gt;3600,AZ27&lt;=5400),BA27+1,BA27)</f>
        <v>0</v>
      </c>
      <c r="AW27" s="189">
        <f t="shared" si="24"/>
        <v>0</v>
      </c>
      <c r="AX27" s="189">
        <f t="shared" si="24"/>
        <v>0</v>
      </c>
      <c r="AY27" s="144"/>
      <c r="AZ27" s="144">
        <f>AZ15</f>
        <v>0</v>
      </c>
      <c r="BA27" s="192">
        <f>BA15</f>
        <v>0</v>
      </c>
      <c r="BB27" s="192">
        <f>IF($E$7=$BE$50,(V27*0.25+Y27*0.5+AC27*0.75+AE27)*Цены!$I$45,
IF($E$7=$BE$51,(V27*0.25+Y27*0.5+AC27*0.75+AE27)*Цены!$I$46,
IF($E$7=$BE$52,(V27*0.25+Y27*0.5+AC27*0.75+AE27)*Цены!$I$47,
IF($E$7=$BE$53,(V27*0.25+Y27*0.5+AC27*0.75+AE27)*Цены!$I$48,
(V27*0.25+Y27*0.5+AC27*0.75+AE27)*Цены!$I$51))))</f>
        <v>0</v>
      </c>
      <c r="BC27" s="192">
        <f>IF($E$7=$BE$50,(W27*0.34+Z27*0.5+AB27*0.67+AF27)*Цены!$I$69,
IF($E$7=$BE$51,(W27*0.34+Z27*0.5+AB27*0.67+AF27)*Цены!$I$70,
IF($E$7=$BE$52,(W27*0.34+Z27*0.5+AB27*0.67+AF27)*Цены!$I$71,
IF($E$7=$BE$53,(W27*0.34+Z27*0.5+AB27*0.67+AF27)*Цены!$I$71,
(W27*0.34+Z27*0.5+AB27*0.67+AF27)*Цены!$I$75))))</f>
        <v>0</v>
      </c>
      <c r="BE27" s="66" t="s">
        <v>11</v>
      </c>
      <c r="BK27" s="309">
        <f>IF(E27&lt;&gt;0,1,0)</f>
        <v>0</v>
      </c>
    </row>
    <row r="28" spans="2:66" ht="25.05" customHeight="1" thickBot="1" x14ac:dyDescent="0.35">
      <c r="B28" s="73" t="s">
        <v>120</v>
      </c>
      <c r="C28" s="15" t="s">
        <v>13</v>
      </c>
      <c r="D28" s="96">
        <v>0</v>
      </c>
      <c r="E28" s="17">
        <v>0</v>
      </c>
      <c r="F28" s="74">
        <f>IF(C28=$BE$29,$K$5-63,IF(C28=$BE$28,$K$5-62,$K$5-60))</f>
        <v>793</v>
      </c>
      <c r="G28" s="75">
        <f>IF(E28&lt;&gt;0,$E$9,0)</f>
        <v>0</v>
      </c>
      <c r="H28" s="76">
        <f t="shared" si="27"/>
        <v>0</v>
      </c>
      <c r="J28" s="417" t="s">
        <v>268</v>
      </c>
      <c r="K28" s="418"/>
      <c r="L28" s="418"/>
      <c r="M28" s="418"/>
      <c r="N28" s="210" t="s">
        <v>269</v>
      </c>
      <c r="O28" s="235">
        <f>IF(E8=BE11,E10-1,
IF(E8=BE12,E10-2,0))</f>
        <v>1</v>
      </c>
      <c r="P28" s="254"/>
      <c r="Q28" s="254"/>
      <c r="R28" s="266">
        <f>O28*Цены!I96</f>
        <v>151.61000000000001</v>
      </c>
      <c r="S28" s="247"/>
      <c r="T28" s="337"/>
      <c r="U28" s="424" t="s">
        <v>109</v>
      </c>
      <c r="V28" s="424"/>
      <c r="W28" s="424"/>
      <c r="X28" s="424"/>
      <c r="Y28" s="424"/>
      <c r="Z28" s="424"/>
      <c r="AA28" s="424"/>
      <c r="AB28" s="424"/>
      <c r="AC28" s="424"/>
      <c r="AD28" s="424"/>
      <c r="AE28" s="424"/>
      <c r="AF28" s="424"/>
      <c r="AG28" s="425"/>
      <c r="AH28" s="139">
        <f>SUM(AH21:AH27)</f>
        <v>24184.125</v>
      </c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BE28" s="66" t="s">
        <v>12</v>
      </c>
      <c r="BK28" s="309">
        <f>IF(E28&lt;&gt;0,1,0)</f>
        <v>0</v>
      </c>
    </row>
    <row r="29" spans="2:66" ht="25.05" customHeight="1" x14ac:dyDescent="0.3">
      <c r="B29" s="73" t="s">
        <v>121</v>
      </c>
      <c r="C29" s="15" t="s">
        <v>13</v>
      </c>
      <c r="D29" s="96">
        <v>0</v>
      </c>
      <c r="E29" s="17">
        <v>0</v>
      </c>
      <c r="F29" s="74">
        <f>IF(C29=$BE$29,$K$5-63,IF(C29=$BE$28,$K$5-62,$K$5-60))</f>
        <v>793</v>
      </c>
      <c r="G29" s="75">
        <f>IF(E29&lt;&gt;0,$E$9,0)</f>
        <v>0</v>
      </c>
      <c r="H29" s="76">
        <f t="shared" si="27"/>
        <v>0</v>
      </c>
      <c r="J29" s="419" t="s">
        <v>46</v>
      </c>
      <c r="K29" s="420"/>
      <c r="L29" s="420"/>
      <c r="M29" s="420"/>
      <c r="N29" s="211" t="s">
        <v>236</v>
      </c>
      <c r="O29" s="235">
        <f>IF(OR(D15=BE69,E15="нет"),0,
IF(AND(E8=BE7,K5&gt;=900),2,
IF(AND(E8=BE7,K5&gt;=650,K5&lt;900),1,
IF(AND(E12=BE24,OR(E8=BE8,E8=BE10,E8=BE14),K5&gt;=900),4,
IF(AND(E12=BE24,OR(E8=BE8,E8=BE10,E8=BE14),K5&lt;900),2,
IF(AND(E12=BE23,OR(E8=BE8,E8=BE10,E8=BE14)),2,
IF(AND(E8=BE9,K5&gt;=900),4,
IF(AND(E8=BE9,K5&gt;=650,K5&lt;900),2,
IF(AND(E8=BE13,K5&gt;=900),6,
IF(AND(E8=BE13,K5&gt;=650,K5&lt;900),3,
IF(E8=BE11,E9,
IF(E8=BE12,E9-1,0))))))))))))</f>
        <v>0</v>
      </c>
      <c r="P29" s="254"/>
      <c r="Q29" s="254"/>
      <c r="R29" s="266">
        <f>O29*Цены!I81</f>
        <v>0</v>
      </c>
      <c r="S29" s="247"/>
      <c r="T29" s="247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BE29" s="66" t="s">
        <v>13</v>
      </c>
      <c r="BK29" s="309">
        <f>IF(E29&lt;&gt;0,1,0)</f>
        <v>0</v>
      </c>
    </row>
    <row r="30" spans="2:66" ht="25.05" customHeight="1" thickBot="1" x14ac:dyDescent="0.35">
      <c r="B30" s="81" t="s">
        <v>122</v>
      </c>
      <c r="C30" s="15" t="s">
        <v>13</v>
      </c>
      <c r="D30" s="96">
        <v>0</v>
      </c>
      <c r="E30" s="17">
        <v>0</v>
      </c>
      <c r="F30" s="74">
        <f>IF(C30=$BE$29,$K$5-63,IF(C30=$BE$28,$K$5-62,$K$5-60))</f>
        <v>793</v>
      </c>
      <c r="G30" s="75">
        <f>IF(E30&lt;&gt;0,$E$9,0)</f>
        <v>0</v>
      </c>
      <c r="H30" s="76">
        <f t="shared" si="27"/>
        <v>0</v>
      </c>
      <c r="J30" s="421" t="s">
        <v>69</v>
      </c>
      <c r="K30" s="422"/>
      <c r="L30" s="422"/>
      <c r="M30" s="422"/>
      <c r="N30" s="210" t="s">
        <v>233</v>
      </c>
      <c r="O30" s="236">
        <f>IF(OR(E8=BE7,E8=BE8),ROUNDUP(L10/500+1,0),0)</f>
        <v>0</v>
      </c>
      <c r="P30" s="255"/>
      <c r="Q30" s="255"/>
      <c r="R30" s="266">
        <f>O30*Цены!I127</f>
        <v>0</v>
      </c>
      <c r="S30" s="247"/>
      <c r="T30" s="247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54"/>
      <c r="AU30" s="54"/>
      <c r="AV30" s="54"/>
      <c r="AW30" s="54"/>
      <c r="BK30" s="309">
        <f>IF(E30&lt;&gt;0,1,0)</f>
        <v>0</v>
      </c>
    </row>
    <row r="31" spans="2:66" ht="25.05" customHeight="1" thickBot="1" x14ac:dyDescent="0.35">
      <c r="B31" s="67"/>
      <c r="C31" s="68"/>
      <c r="D31" s="68"/>
      <c r="E31" s="432" t="s">
        <v>85</v>
      </c>
      <c r="F31" s="433"/>
      <c r="G31" s="434"/>
      <c r="H31" s="339">
        <f>SUM(H26:H30)</f>
        <v>0</v>
      </c>
      <c r="J31" s="421" t="s">
        <v>228</v>
      </c>
      <c r="K31" s="422"/>
      <c r="L31" s="422"/>
      <c r="M31" s="422"/>
      <c r="N31" s="210" t="s">
        <v>227</v>
      </c>
      <c r="O31" s="235">
        <f>IF(OR(E8=BE7,E8=BE8),2,0)</f>
        <v>0</v>
      </c>
      <c r="P31" s="254"/>
      <c r="Q31" s="254"/>
      <c r="R31" s="266">
        <f>O31*Цены!I85</f>
        <v>0</v>
      </c>
      <c r="S31" s="247"/>
      <c r="T31" s="247"/>
      <c r="V31" s="338"/>
      <c r="W31" s="338"/>
      <c r="X31" s="338"/>
      <c r="Y31" s="338"/>
      <c r="Z31" s="338"/>
      <c r="AB31" s="438" t="s">
        <v>108</v>
      </c>
      <c r="AC31" s="438"/>
      <c r="AD31" s="438"/>
      <c r="AE31" s="438"/>
      <c r="AF31" s="438"/>
      <c r="AG31" s="438"/>
      <c r="AH31" s="267">
        <f>IF(Z3=BN21,AH16+R45+H31,AH28+R45+H31)</f>
        <v>34105.08</v>
      </c>
      <c r="AI31" s="147"/>
      <c r="AJ31" s="55" t="s">
        <v>282</v>
      </c>
      <c r="AK31" s="147"/>
      <c r="AL31" s="147"/>
      <c r="AM31" s="147"/>
      <c r="AN31" s="3"/>
      <c r="AO31" s="3"/>
      <c r="AP31" s="147"/>
      <c r="AQ31" s="147"/>
      <c r="AR31" s="147"/>
      <c r="AS31" s="147"/>
      <c r="AT31" s="6"/>
      <c r="AU31" s="6"/>
      <c r="AV31" s="6"/>
      <c r="AW31" s="6"/>
    </row>
    <row r="32" spans="2:66" ht="25.05" customHeight="1" x14ac:dyDescent="0.3">
      <c r="B32" s="67"/>
      <c r="C32" s="83" t="str">
        <f>IF((SUM(BK26:BK30)/C22)&lt;&gt;1,BE43,BE44)</f>
        <v>Верно внесены высоты вставок</v>
      </c>
      <c r="D32" s="358">
        <f>IF(C32=BE44,1,0)</f>
        <v>1</v>
      </c>
      <c r="E32" s="358"/>
      <c r="F32" s="358"/>
      <c r="G32" s="358"/>
      <c r="H32" s="69"/>
      <c r="J32" s="417" t="s">
        <v>131</v>
      </c>
      <c r="K32" s="418"/>
      <c r="L32" s="418"/>
      <c r="M32" s="418"/>
      <c r="N32" s="210" t="s">
        <v>235</v>
      </c>
      <c r="O32" s="235">
        <f>IF(AND(E14=BE23,OR(E8=BE11,E8=BE7,E8=BE12)),1,IF(AND(OR(E8=BE9,E8=BE8,E8=BE10,E8=BE14),E14=BE23),2,IF(AND(E8=BE13,E14=BE23),3,0)))</f>
        <v>0</v>
      </c>
      <c r="P32" s="254"/>
      <c r="Q32" s="254"/>
      <c r="R32" s="266">
        <f>O32*Цены!I131</f>
        <v>0</v>
      </c>
      <c r="S32" s="247"/>
      <c r="T32" s="247"/>
      <c r="U32" s="79"/>
      <c r="V32" s="79"/>
      <c r="W32" s="6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3"/>
      <c r="AJ32" s="149">
        <f>IF(C26=$BE$27,(F26*E26/1000000)*8,IF(C26=$BE$28,(F26*E26/1000000)*6.5,(F26*E26/1000000)*11))</f>
        <v>21.746439000000002</v>
      </c>
      <c r="AK32" s="3"/>
      <c r="AL32" s="3"/>
      <c r="AM32" s="3"/>
      <c r="AN32" s="3"/>
      <c r="AO32" s="3"/>
      <c r="AP32" s="3"/>
      <c r="AQ32" s="3"/>
      <c r="AR32" s="3"/>
      <c r="AS32" s="3"/>
      <c r="AT32" s="54"/>
      <c r="AU32" s="54"/>
      <c r="AV32" s="54"/>
      <c r="AW32" s="54"/>
    </row>
    <row r="33" spans="1:57" ht="25.05" customHeight="1" x14ac:dyDescent="0.3">
      <c r="B33" s="67"/>
      <c r="C33" s="68"/>
      <c r="D33" s="68"/>
      <c r="E33" s="68"/>
      <c r="F33" s="68"/>
      <c r="G33" s="68"/>
      <c r="H33" s="69"/>
      <c r="J33" s="417" t="s">
        <v>237</v>
      </c>
      <c r="K33" s="418"/>
      <c r="L33" s="418"/>
      <c r="M33" s="418"/>
      <c r="N33" s="210" t="s">
        <v>204</v>
      </c>
      <c r="O33" s="235">
        <f>M13*2+M14*2+M15*2</f>
        <v>12</v>
      </c>
      <c r="P33" s="254"/>
      <c r="Q33" s="254"/>
      <c r="R33" s="266">
        <f>O33*Цены!I163</f>
        <v>89.76</v>
      </c>
      <c r="S33" s="247"/>
      <c r="T33" s="247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3"/>
      <c r="AJ33" s="149">
        <f>IF(C27=$BE$27,(F27*E27/1000000)*8,IF(C27=$BE$28,(F27*E27/1000000)*6.5,(F27*E27/1000000)*11))</f>
        <v>0</v>
      </c>
      <c r="AK33" s="3"/>
      <c r="AL33" s="3"/>
      <c r="AM33" s="3"/>
      <c r="AP33" s="3"/>
      <c r="AQ33" s="3"/>
      <c r="AR33" s="3"/>
      <c r="AS33" s="3"/>
      <c r="AT33" s="54"/>
      <c r="AU33" s="54"/>
      <c r="AV33" s="54"/>
      <c r="AW33" s="54"/>
      <c r="BE33" s="80" t="s">
        <v>123</v>
      </c>
    </row>
    <row r="34" spans="1:57" ht="25.05" customHeight="1" x14ac:dyDescent="0.3">
      <c r="B34" s="67"/>
      <c r="C34" s="85"/>
      <c r="D34" s="85"/>
      <c r="E34" s="86"/>
      <c r="F34" s="86"/>
      <c r="G34" s="86"/>
      <c r="H34" s="69"/>
      <c r="J34" s="417" t="s">
        <v>88</v>
      </c>
      <c r="K34" s="418"/>
      <c r="L34" s="418"/>
      <c r="M34" s="418"/>
      <c r="N34" s="210" t="s">
        <v>272</v>
      </c>
      <c r="O34" s="237">
        <f>ROUNDUP((IF(C26=BE28,(E26+F26)*2*G26,0)+IF(C27=BE28,(E27+F27)*2*G27,0)+IF(C28=BE28,(E28+F28)*2*G28,0)+IF(C29=BE28,(E29+F29)*2*G29,0)+IF(C30=BE28,(E30+F30)*2*G30,0))/1000,0)</f>
        <v>0</v>
      </c>
      <c r="P34" s="256"/>
      <c r="Q34" s="256"/>
      <c r="R34" s="266">
        <f>O34*Цены!I156</f>
        <v>0</v>
      </c>
      <c r="S34" s="247"/>
      <c r="T34" s="247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3"/>
      <c r="AJ34" s="149">
        <f>IF(C28=$BE$27,(F28*E28/1000000)*8,IF(C28=$BE$28,(F28*E28/1000000)*6.5,(F28*E28/1000000)*11))</f>
        <v>0</v>
      </c>
      <c r="AK34" s="3"/>
      <c r="AL34" s="3"/>
      <c r="AM34" s="3"/>
      <c r="AP34" s="3"/>
      <c r="AQ34" s="3"/>
      <c r="AR34" s="3"/>
      <c r="AS34" s="3"/>
      <c r="AT34" s="54"/>
      <c r="AU34" s="54"/>
      <c r="AV34" s="54"/>
      <c r="AW34" s="54"/>
      <c r="BE34" s="80" t="s">
        <v>100</v>
      </c>
    </row>
    <row r="35" spans="1:57" ht="25.05" customHeight="1" x14ac:dyDescent="0.3">
      <c r="B35" s="67"/>
      <c r="C35" s="68"/>
      <c r="D35" s="68"/>
      <c r="E35" s="68"/>
      <c r="F35" s="68"/>
      <c r="G35" s="68"/>
      <c r="H35" s="69"/>
      <c r="J35" s="417" t="s">
        <v>90</v>
      </c>
      <c r="K35" s="418"/>
      <c r="L35" s="418"/>
      <c r="M35" s="418"/>
      <c r="N35" s="210" t="s">
        <v>205</v>
      </c>
      <c r="O35" s="237">
        <f>ROUNDUP((IF(C26=BE29,(E26+F26)*2*G26,0)+IF(C27=BE29,(E27+F27)*2*G27,0)+IF(C28=BE29,(E28+F28)*2*G28,0)+IF(C29=BE29,(E29+F29)*2*G29,0)+IF(C30=BE29,(E30+F30)*2*G30,0))/1000,0)</f>
        <v>20</v>
      </c>
      <c r="P35" s="256"/>
      <c r="Q35" s="256"/>
      <c r="R35" s="266">
        <f>O35*Цены!I157</f>
        <v>699.80000000000007</v>
      </c>
      <c r="S35" s="247"/>
      <c r="T35" s="247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3"/>
      <c r="AJ35" s="149">
        <f>IF(C29=$BE$27,(F29*E29/1000000)*8,IF(C29=$BE$28,(F29*E29/1000000)*6.5,(F29*E29/1000000)*11))</f>
        <v>0</v>
      </c>
      <c r="AK35" s="3"/>
      <c r="AL35" s="3"/>
      <c r="AM35" s="3"/>
      <c r="AN35" s="3"/>
      <c r="AO35" s="3"/>
      <c r="AP35" s="3"/>
      <c r="AQ35" s="3"/>
      <c r="AR35" s="3"/>
      <c r="AS35" s="3"/>
      <c r="AT35" s="54"/>
      <c r="AU35" s="54"/>
      <c r="AV35" s="54"/>
      <c r="AW35" s="54"/>
    </row>
    <row r="36" spans="1:57" ht="25.05" customHeight="1" thickBot="1" x14ac:dyDescent="0.35">
      <c r="B36" s="67"/>
      <c r="C36" s="86" t="str">
        <f>IF(AND(SUM(BK26:BK30)/C22=1,E30=0,C22&lt;&gt;1),BE47,BE48)</f>
        <v xml:space="preserve"> </v>
      </c>
      <c r="D36" s="86"/>
      <c r="E36" s="86"/>
      <c r="F36" s="86"/>
      <c r="G36" s="86"/>
      <c r="H36" s="69"/>
      <c r="J36" s="417" t="s">
        <v>86</v>
      </c>
      <c r="K36" s="418"/>
      <c r="L36" s="418"/>
      <c r="M36" s="418"/>
      <c r="N36" s="210" t="s">
        <v>206</v>
      </c>
      <c r="O36" s="235">
        <f>IF(E13=BE36,O33,0)</f>
        <v>0</v>
      </c>
      <c r="P36" s="254"/>
      <c r="Q36" s="254"/>
      <c r="R36" s="266">
        <f>O36*Цены!I150</f>
        <v>0</v>
      </c>
      <c r="S36" s="247"/>
      <c r="T36" s="247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3"/>
      <c r="AJ36" s="149">
        <f>IF(C30=$BE$27,(F30*E30/1000000)*8,IF(C30=$BE$28,(F30*E30/1000000)*6.5,(F30*E30/1000000)*11))</f>
        <v>0</v>
      </c>
      <c r="AK36" s="3"/>
      <c r="AL36" s="3"/>
      <c r="AM36" s="3"/>
      <c r="AN36" s="3"/>
      <c r="AO36" s="3"/>
      <c r="AP36" s="3"/>
      <c r="AQ36" s="3"/>
      <c r="AR36" s="3"/>
      <c r="AS36" s="3"/>
      <c r="AT36" s="5"/>
      <c r="AU36" s="5"/>
      <c r="AV36" s="5"/>
      <c r="AW36" s="5"/>
      <c r="BE36" s="1" t="s">
        <v>86</v>
      </c>
    </row>
    <row r="37" spans="1:57" ht="25.05" customHeight="1" thickBot="1" x14ac:dyDescent="0.35">
      <c r="B37" s="67"/>
      <c r="C37" s="68"/>
      <c r="D37" s="68"/>
      <c r="E37" s="68"/>
      <c r="F37" s="68"/>
      <c r="G37" s="68"/>
      <c r="H37" s="69"/>
      <c r="J37" s="417" t="s">
        <v>172</v>
      </c>
      <c r="K37" s="418"/>
      <c r="L37" s="418"/>
      <c r="M37" s="418"/>
      <c r="N37" s="212" t="s">
        <v>207</v>
      </c>
      <c r="O37" s="374">
        <f>IF(E13=BE37,O33,0)</f>
        <v>0</v>
      </c>
      <c r="P37" s="253"/>
      <c r="Q37" s="253"/>
      <c r="R37" s="266">
        <f>O37*Цены!I111</f>
        <v>0</v>
      </c>
      <c r="S37" s="247"/>
      <c r="T37" s="247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3"/>
      <c r="AJ37" s="150">
        <f>SUM(AJ32:AJ36)</f>
        <v>21.746439000000002</v>
      </c>
      <c r="AN37" s="3"/>
      <c r="AO37" s="3"/>
      <c r="AP37" s="3"/>
      <c r="AQ37" s="3"/>
      <c r="AR37" s="3"/>
      <c r="AS37" s="3"/>
      <c r="AT37" s="5"/>
      <c r="AU37" s="5"/>
      <c r="AV37" s="5"/>
      <c r="AW37" s="5"/>
      <c r="BE37" s="84" t="s">
        <v>165</v>
      </c>
    </row>
    <row r="38" spans="1:57" ht="25.05" customHeight="1" x14ac:dyDescent="0.3">
      <c r="B38" s="67"/>
      <c r="C38" s="68"/>
      <c r="D38" s="68"/>
      <c r="E38" s="68"/>
      <c r="F38" s="68"/>
      <c r="G38" s="68"/>
      <c r="H38" s="69"/>
      <c r="J38" s="415" t="s">
        <v>82</v>
      </c>
      <c r="K38" s="416"/>
      <c r="L38" s="416"/>
      <c r="M38" s="416"/>
      <c r="N38" s="210" t="s">
        <v>208</v>
      </c>
      <c r="O38" s="238">
        <f>IF(E13=BE39,ROUNDUP(L9*M9/1000,0),0)</f>
        <v>0</v>
      </c>
      <c r="P38" s="257"/>
      <c r="Q38" s="257"/>
      <c r="R38" s="266">
        <f>O38*Цены!I140</f>
        <v>0</v>
      </c>
      <c r="S38" s="247"/>
      <c r="T38" s="247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3"/>
      <c r="AJ38" s="149"/>
      <c r="AN38" s="3"/>
      <c r="AO38" s="3"/>
      <c r="AP38" s="3"/>
      <c r="AQ38" s="3"/>
      <c r="AR38" s="3"/>
      <c r="AS38" s="3"/>
      <c r="AT38" s="5"/>
      <c r="AU38" s="5"/>
      <c r="AV38" s="5"/>
      <c r="AW38" s="5"/>
      <c r="BE38" s="84" t="s">
        <v>135</v>
      </c>
    </row>
    <row r="39" spans="1:57" ht="25.05" customHeight="1" x14ac:dyDescent="0.35">
      <c r="B39" s="87"/>
      <c r="C39" s="88"/>
      <c r="D39" s="358"/>
      <c r="E39" s="358"/>
      <c r="F39" s="358"/>
      <c r="G39" s="6"/>
      <c r="H39" s="13"/>
      <c r="J39" s="415" t="s">
        <v>135</v>
      </c>
      <c r="K39" s="416"/>
      <c r="L39" s="416"/>
      <c r="M39" s="416"/>
      <c r="N39" s="210" t="s">
        <v>209</v>
      </c>
      <c r="O39" s="238">
        <f>IF(E13=BE38,ROUNDUP(L9*M9/1000,0),0)</f>
        <v>16</v>
      </c>
      <c r="P39" s="257"/>
      <c r="Q39" s="257"/>
      <c r="R39" s="266">
        <f>O39*Цены!I159</f>
        <v>303.2</v>
      </c>
      <c r="S39" s="247"/>
      <c r="T39" s="247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3"/>
      <c r="AJ39" s="149"/>
      <c r="AK39" s="3"/>
      <c r="AL39" s="3"/>
      <c r="AM39" s="3"/>
      <c r="AN39" s="3"/>
      <c r="AO39" s="3"/>
      <c r="AP39" s="3"/>
      <c r="AQ39" s="3"/>
      <c r="AR39" s="3"/>
      <c r="AS39" s="3"/>
      <c r="AT39" s="5"/>
      <c r="AU39" s="5"/>
      <c r="AV39" s="5"/>
      <c r="AW39" s="5"/>
      <c r="BE39" s="1" t="s">
        <v>82</v>
      </c>
    </row>
    <row r="40" spans="1:57" ht="25.05" customHeight="1" x14ac:dyDescent="0.3">
      <c r="B40" s="12"/>
      <c r="C40" s="6"/>
      <c r="D40" s="6"/>
      <c r="E40" s="6"/>
      <c r="F40" s="6"/>
      <c r="G40" s="6"/>
      <c r="H40" s="13"/>
      <c r="J40" s="415" t="s">
        <v>167</v>
      </c>
      <c r="K40" s="416"/>
      <c r="L40" s="416"/>
      <c r="M40" s="416"/>
      <c r="N40" s="300" t="s">
        <v>210</v>
      </c>
      <c r="O40" s="236">
        <f>IF(O39&gt;0,M9*2,0)</f>
        <v>12</v>
      </c>
      <c r="P40" s="255"/>
      <c r="Q40" s="255"/>
      <c r="R40" s="266">
        <f>O40*Цены!I155</f>
        <v>155.04</v>
      </c>
      <c r="S40" s="247"/>
      <c r="T40" s="247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5"/>
      <c r="AU40" s="5"/>
      <c r="AV40" s="5"/>
      <c r="AW40" s="5"/>
      <c r="BE40" s="6"/>
    </row>
    <row r="41" spans="1:57" ht="25.05" customHeight="1" x14ac:dyDescent="0.3">
      <c r="B41" s="12"/>
      <c r="C41" s="6"/>
      <c r="D41" s="6"/>
      <c r="E41" s="6"/>
      <c r="F41" s="6"/>
      <c r="G41" s="6"/>
      <c r="H41" s="13"/>
      <c r="J41" s="415" t="s">
        <v>168</v>
      </c>
      <c r="K41" s="416"/>
      <c r="L41" s="416"/>
      <c r="M41" s="416"/>
      <c r="N41" s="210" t="s">
        <v>239</v>
      </c>
      <c r="O41" s="236">
        <f>E16</f>
        <v>0</v>
      </c>
      <c r="P41" s="255"/>
      <c r="Q41" s="255"/>
      <c r="R41" s="266">
        <f>O41*Цены!I125</f>
        <v>0</v>
      </c>
      <c r="S41" s="247"/>
      <c r="T41" s="247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5"/>
      <c r="AU41" s="5"/>
      <c r="AV41" s="5"/>
      <c r="AW41" s="5"/>
    </row>
    <row r="42" spans="1:57" ht="25.05" customHeight="1" x14ac:dyDescent="0.3">
      <c r="B42" s="12"/>
      <c r="C42" s="6"/>
      <c r="D42" s="6"/>
      <c r="E42" s="6"/>
      <c r="F42" s="6"/>
      <c r="G42" s="6"/>
      <c r="H42" s="13"/>
      <c r="J42" s="415" t="s">
        <v>169</v>
      </c>
      <c r="K42" s="416"/>
      <c r="L42" s="416"/>
      <c r="M42" s="416"/>
      <c r="N42" s="210" t="s">
        <v>241</v>
      </c>
      <c r="O42" s="236">
        <f>IF(OR(OR(E8=BE7,E8=BE9,E8=BE11,E8=BE12,E8=BE13),E17="нет"),0,
IF(OR(E8=BE8,E8=BE10,E8=BE14),1,0))</f>
        <v>0</v>
      </c>
      <c r="P42" s="255"/>
      <c r="Q42" s="255"/>
      <c r="R42" s="266">
        <f>O42*Цены!I92</f>
        <v>0</v>
      </c>
      <c r="S42" s="247"/>
      <c r="T42" s="247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</row>
    <row r="43" spans="1:57" ht="25.05" customHeight="1" x14ac:dyDescent="0.3">
      <c r="B43" s="12"/>
      <c r="C43" s="6"/>
      <c r="D43" s="6"/>
      <c r="E43" s="6"/>
      <c r="F43" s="6"/>
      <c r="G43" s="6"/>
      <c r="H43" s="13"/>
      <c r="J43" s="415" t="s">
        <v>170</v>
      </c>
      <c r="K43" s="416"/>
      <c r="L43" s="416"/>
      <c r="M43" s="416"/>
      <c r="N43" s="210" t="s">
        <v>240</v>
      </c>
      <c r="O43" s="236">
        <f>IF(E18=BE24,0,
IF(E8=BE9,1,
IF(E8=BE13,2,
IF(AND(OR(E8=BE11,E8=BE12),E11=BE23),1,
IF(AND(E8=BE12,E11=BE24),E10-1,0)))))</f>
        <v>0</v>
      </c>
      <c r="P43" s="255"/>
      <c r="Q43" s="255"/>
      <c r="R43" s="266">
        <f>O43*Цены!I89</f>
        <v>0</v>
      </c>
      <c r="S43" s="247"/>
      <c r="T43" s="247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BE43" s="80" t="s">
        <v>124</v>
      </c>
    </row>
    <row r="44" spans="1:57" ht="25.05" customHeight="1" thickBot="1" x14ac:dyDescent="0.35">
      <c r="B44" s="12"/>
      <c r="C44" s="6"/>
      <c r="D44" s="6"/>
      <c r="E44" s="6"/>
      <c r="F44" s="6"/>
      <c r="G44" s="6"/>
      <c r="H44" s="13"/>
      <c r="J44" s="417" t="s">
        <v>497</v>
      </c>
      <c r="K44" s="418"/>
      <c r="L44" s="418"/>
      <c r="M44" s="418"/>
      <c r="N44" s="210" t="s">
        <v>498</v>
      </c>
      <c r="O44" s="235">
        <f>O26</f>
        <v>0</v>
      </c>
      <c r="P44" s="254"/>
      <c r="Q44" s="254"/>
      <c r="R44" s="266">
        <f>O44*Цены!I146</f>
        <v>0</v>
      </c>
      <c r="S44" s="261"/>
      <c r="T44" s="261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BE44" s="80" t="s">
        <v>125</v>
      </c>
    </row>
    <row r="45" spans="1:57" ht="25.05" customHeight="1" thickBot="1" x14ac:dyDescent="0.35">
      <c r="B45" s="12"/>
      <c r="C45" s="6"/>
      <c r="D45" s="6"/>
      <c r="E45" s="6"/>
      <c r="F45" s="6"/>
      <c r="G45" s="349" t="s">
        <v>279</v>
      </c>
      <c r="H45" s="151">
        <f>ROUNDUP((AJ18+AJ37)*1.1,0)</f>
        <v>29</v>
      </c>
      <c r="J45" s="12"/>
      <c r="K45" s="6"/>
      <c r="L45" s="6"/>
      <c r="M45" s="6"/>
      <c r="N45" s="6"/>
      <c r="O45" s="13"/>
      <c r="P45" s="5"/>
      <c r="Q45" s="467" t="s">
        <v>456</v>
      </c>
      <c r="R45" s="137">
        <f>SUM(R21:R44)</f>
        <v>9437.8900000000012</v>
      </c>
      <c r="S45" s="5"/>
      <c r="T45" s="5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</row>
    <row r="46" spans="1:57" ht="25.05" customHeight="1" thickBot="1" x14ac:dyDescent="0.35">
      <c r="B46" s="14"/>
      <c r="C46" s="154"/>
      <c r="D46" s="154"/>
      <c r="E46" s="154"/>
      <c r="F46" s="154"/>
      <c r="G46" s="154"/>
      <c r="H46" s="140"/>
      <c r="J46" s="14"/>
      <c r="K46" s="154"/>
      <c r="L46" s="273"/>
      <c r="M46" s="273"/>
      <c r="N46" s="273"/>
      <c r="O46" s="274"/>
      <c r="P46" s="258"/>
      <c r="Q46" s="467"/>
      <c r="R46" s="137">
        <f>R16+R45+H31</f>
        <v>38395.050000000003</v>
      </c>
      <c r="S46" s="261"/>
      <c r="T46" s="261"/>
      <c r="AI46" s="89"/>
      <c r="AJ46" s="89"/>
      <c r="AK46" s="89"/>
      <c r="AL46" s="89"/>
      <c r="AM46" s="89"/>
      <c r="AN46" s="89"/>
      <c r="AO46" s="89"/>
      <c r="AP46" s="89"/>
      <c r="AQ46" s="89"/>
      <c r="AR46" s="89"/>
      <c r="AS46" s="89"/>
      <c r="AT46" s="89"/>
      <c r="AU46" s="89"/>
      <c r="AV46" s="89"/>
      <c r="AW46" s="89"/>
    </row>
    <row r="47" spans="1:57" ht="30" customHeight="1" x14ac:dyDescent="0.35">
      <c r="A47" s="6"/>
      <c r="B47" s="88"/>
      <c r="C47" s="88"/>
      <c r="D47" s="358"/>
      <c r="E47" s="358"/>
      <c r="F47" s="358"/>
      <c r="G47" s="6"/>
      <c r="H47" s="6"/>
      <c r="I47" s="6"/>
      <c r="P47" s="5"/>
      <c r="Q47" s="5"/>
      <c r="S47" s="5"/>
      <c r="T47" s="5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90"/>
      <c r="AJ47" s="90"/>
      <c r="AK47" s="90"/>
      <c r="AL47" s="90"/>
      <c r="AM47" s="90"/>
      <c r="AN47" s="90"/>
      <c r="AO47" s="90"/>
      <c r="AP47" s="90"/>
      <c r="AQ47" s="90"/>
      <c r="AR47" s="90"/>
      <c r="AS47" s="90"/>
      <c r="AT47" s="90"/>
      <c r="AU47" s="90"/>
      <c r="AV47" s="90"/>
      <c r="AW47" s="90"/>
      <c r="BE47" s="91" t="s">
        <v>132</v>
      </c>
    </row>
    <row r="48" spans="1:57" ht="30" customHeight="1" x14ac:dyDescent="0.3">
      <c r="A48" s="6"/>
      <c r="R48" s="5"/>
      <c r="S48" s="5"/>
      <c r="T48" s="5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BE48" s="1" t="s">
        <v>100</v>
      </c>
    </row>
    <row r="49" spans="1:59" ht="30" customHeight="1" x14ac:dyDescent="0.3">
      <c r="A49" s="6"/>
      <c r="R49" s="5"/>
      <c r="S49" s="5"/>
      <c r="T49" s="5"/>
      <c r="U49" s="89"/>
      <c r="V49" s="89"/>
      <c r="W49" s="89"/>
      <c r="X49" s="89"/>
      <c r="Y49" s="89"/>
      <c r="Z49" s="89"/>
      <c r="AA49" s="6"/>
      <c r="AB49" s="6"/>
      <c r="AC49" s="6"/>
      <c r="AD49" s="6"/>
      <c r="AE49" s="6"/>
      <c r="AF49" s="6"/>
      <c r="AG49" s="6"/>
      <c r="AH49" s="6"/>
      <c r="BE49" s="6"/>
    </row>
    <row r="50" spans="1:59" ht="30" customHeight="1" x14ac:dyDescent="0.3">
      <c r="A50" s="6"/>
      <c r="R50" s="5"/>
      <c r="S50" s="5"/>
      <c r="T50" s="5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BE50" s="39" t="str">
        <f>Цены!F8</f>
        <v>Серебро матовое</v>
      </c>
    </row>
    <row r="51" spans="1:59" x14ac:dyDescent="0.3">
      <c r="A51" s="6"/>
      <c r="R51" s="5"/>
      <c r="S51" s="5"/>
      <c r="T51" s="5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BE51" s="39" t="str">
        <f>Цены!F9</f>
        <v>Черный матовый</v>
      </c>
    </row>
    <row r="52" spans="1:59" x14ac:dyDescent="0.3">
      <c r="A52" s="6"/>
      <c r="R52" s="5"/>
      <c r="S52" s="5"/>
      <c r="T52" s="5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BE52" s="39" t="str">
        <f>Цены!F10</f>
        <v>Слоновая кость</v>
      </c>
    </row>
    <row r="53" spans="1:59" x14ac:dyDescent="0.3">
      <c r="R53" s="5"/>
      <c r="S53" s="5"/>
      <c r="T53" s="5"/>
      <c r="U53" s="6"/>
      <c r="V53" s="6"/>
      <c r="BE53" s="39" t="str">
        <f>Цены!F11</f>
        <v>Белый матовый</v>
      </c>
    </row>
    <row r="54" spans="1:59" x14ac:dyDescent="0.3">
      <c r="R54" s="6"/>
      <c r="S54" s="6"/>
      <c r="T54" s="6"/>
      <c r="U54" s="6"/>
      <c r="V54" s="6"/>
      <c r="BE54" s="39" t="str">
        <f>Цены!F12</f>
        <v xml:space="preserve">Венге темный </v>
      </c>
    </row>
    <row r="55" spans="1:59" x14ac:dyDescent="0.3">
      <c r="R55" s="6"/>
      <c r="S55" s="6"/>
      <c r="T55" s="6"/>
      <c r="U55" s="6"/>
      <c r="V55" s="6"/>
      <c r="BE55" s="39" t="str">
        <f>Цены!F13</f>
        <v>Дуб белый</v>
      </c>
    </row>
    <row r="56" spans="1:59" x14ac:dyDescent="0.3">
      <c r="BE56" s="39" t="str">
        <f>Цены!F14</f>
        <v xml:space="preserve"> медь античная*</v>
      </c>
    </row>
    <row r="57" spans="1:59" x14ac:dyDescent="0.3">
      <c r="BE57" s="39" t="str">
        <f>Цены!F15</f>
        <v>сталь воронёная*</v>
      </c>
    </row>
    <row r="58" spans="1:59" x14ac:dyDescent="0.3">
      <c r="BE58" s="6"/>
    </row>
    <row r="59" spans="1:59" ht="15.6" x14ac:dyDescent="0.3">
      <c r="BG59" s="49">
        <v>0</v>
      </c>
    </row>
    <row r="60" spans="1:59" ht="15.6" x14ac:dyDescent="0.3">
      <c r="BG60" s="49">
        <v>1</v>
      </c>
    </row>
    <row r="61" spans="1:59" ht="15.6" x14ac:dyDescent="0.3">
      <c r="BG61" s="49">
        <v>2</v>
      </c>
    </row>
    <row r="62" spans="1:59" ht="15.6" x14ac:dyDescent="0.3">
      <c r="BG62" s="49">
        <v>3</v>
      </c>
    </row>
    <row r="63" spans="1:59" ht="15.6" x14ac:dyDescent="0.3">
      <c r="BG63" s="49">
        <v>4</v>
      </c>
    </row>
    <row r="64" spans="1:59" ht="15.6" x14ac:dyDescent="0.3">
      <c r="BG64" s="49">
        <v>5</v>
      </c>
    </row>
    <row r="69" spans="57:57" x14ac:dyDescent="0.3">
      <c r="BE69" s="1" t="s">
        <v>182</v>
      </c>
    </row>
    <row r="70" spans="57:57" x14ac:dyDescent="0.3">
      <c r="BE70" s="1" t="s">
        <v>181</v>
      </c>
    </row>
  </sheetData>
  <sheetProtection algorithmName="SHA-512" hashValue="1kyMOtwc4UpySaa+6JuWwSinw/qiZrTQZQZKvoSGusmJBBgIf1V6Oy3JbgUXhr78O7isXz+2byFo6L10muCO+g==" saltValue="pqDulr9TYbKkCz5ZcMQuAQ==" spinCount="100000" sheet="1" selectLockedCells="1"/>
  <mergeCells count="103">
    <mergeCell ref="Q45:Q46"/>
    <mergeCell ref="J1:O1"/>
    <mergeCell ref="J20:M20"/>
    <mergeCell ref="J21:M21"/>
    <mergeCell ref="J22:M22"/>
    <mergeCell ref="J7:M7"/>
    <mergeCell ref="J3:K3"/>
    <mergeCell ref="J6:M6"/>
    <mergeCell ref="J24:M24"/>
    <mergeCell ref="J25:M25"/>
    <mergeCell ref="J40:M40"/>
    <mergeCell ref="J41:M41"/>
    <mergeCell ref="J42:M42"/>
    <mergeCell ref="J43:M43"/>
    <mergeCell ref="J27:M27"/>
    <mergeCell ref="N11:N12"/>
    <mergeCell ref="N3:O3"/>
    <mergeCell ref="J44:M44"/>
    <mergeCell ref="B1:H1"/>
    <mergeCell ref="E16:H16"/>
    <mergeCell ref="E17:H17"/>
    <mergeCell ref="E18:H18"/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E3:H3"/>
    <mergeCell ref="E4:H4"/>
    <mergeCell ref="E5:H5"/>
    <mergeCell ref="E6:H6"/>
    <mergeCell ref="E7:H7"/>
    <mergeCell ref="B12:D12"/>
    <mergeCell ref="B13:D13"/>
    <mergeCell ref="E8:H8"/>
    <mergeCell ref="E9:H9"/>
    <mergeCell ref="E10:H10"/>
    <mergeCell ref="E11:H11"/>
    <mergeCell ref="AF23:AF24"/>
    <mergeCell ref="AG23:AG24"/>
    <mergeCell ref="AA23:AA24"/>
    <mergeCell ref="AB31:AG31"/>
    <mergeCell ref="B15:D15"/>
    <mergeCell ref="E12:H12"/>
    <mergeCell ref="E13:H13"/>
    <mergeCell ref="E14:H14"/>
    <mergeCell ref="E15:H15"/>
    <mergeCell ref="B14:D14"/>
    <mergeCell ref="B16:D16"/>
    <mergeCell ref="B17:D17"/>
    <mergeCell ref="B18:D18"/>
    <mergeCell ref="AH11:AH12"/>
    <mergeCell ref="O11:O12"/>
    <mergeCell ref="R11:R12"/>
    <mergeCell ref="V11:V12"/>
    <mergeCell ref="AC11:AC12"/>
    <mergeCell ref="AH23:AH24"/>
    <mergeCell ref="AC23:AC24"/>
    <mergeCell ref="E31:G31"/>
    <mergeCell ref="J32:M32"/>
    <mergeCell ref="U16:AG16"/>
    <mergeCell ref="AA11:AA12"/>
    <mergeCell ref="AD11:AD12"/>
    <mergeCell ref="AE11:AE12"/>
    <mergeCell ref="AG11:AG12"/>
    <mergeCell ref="W11:W12"/>
    <mergeCell ref="Z11:Z12"/>
    <mergeCell ref="AB11:AB12"/>
    <mergeCell ref="AF11:AF12"/>
    <mergeCell ref="U11:U12"/>
    <mergeCell ref="X11:X12"/>
    <mergeCell ref="Y11:Y12"/>
    <mergeCell ref="J23:M23"/>
    <mergeCell ref="J26:M26"/>
    <mergeCell ref="AE23:AE24"/>
    <mergeCell ref="Z3:AA3"/>
    <mergeCell ref="U3:Y3"/>
    <mergeCell ref="J38:M38"/>
    <mergeCell ref="J39:M39"/>
    <mergeCell ref="J33:M33"/>
    <mergeCell ref="J34:M34"/>
    <mergeCell ref="J35:M35"/>
    <mergeCell ref="J36:M36"/>
    <mergeCell ref="J37:M37"/>
    <mergeCell ref="J29:M29"/>
    <mergeCell ref="J30:M30"/>
    <mergeCell ref="J31:M31"/>
    <mergeCell ref="J28:M28"/>
    <mergeCell ref="V23:V24"/>
    <mergeCell ref="U28:AG28"/>
    <mergeCell ref="U19:AH19"/>
    <mergeCell ref="U23:U24"/>
    <mergeCell ref="W23:W24"/>
    <mergeCell ref="X23:X24"/>
    <mergeCell ref="Y23:Y24"/>
    <mergeCell ref="Z23:Z24"/>
    <mergeCell ref="U7:AH7"/>
    <mergeCell ref="AB23:AB24"/>
    <mergeCell ref="AD23:AD24"/>
  </mergeCells>
  <conditionalFormatting sqref="E7 E3:E5 E11:E14">
    <cfRule type="cellIs" dxfId="180" priority="88" operator="greaterThan">
      <formula>0</formula>
    </cfRule>
  </conditionalFormatting>
  <conditionalFormatting sqref="E8">
    <cfRule type="cellIs" dxfId="179" priority="84" operator="greaterThan">
      <formula>0</formula>
    </cfRule>
  </conditionalFormatting>
  <conditionalFormatting sqref="E15:E18">
    <cfRule type="cellIs" dxfId="178" priority="58" operator="greaterThan">
      <formula>0</formula>
    </cfRule>
  </conditionalFormatting>
  <conditionalFormatting sqref="U9:AF11 U13:AF15 U12 W12:AB12 AD12:AF12">
    <cfRule type="cellIs" dxfId="177" priority="48" operator="equal">
      <formula>0</formula>
    </cfRule>
  </conditionalFormatting>
  <conditionalFormatting sqref="K4">
    <cfRule type="expression" dxfId="176" priority="22">
      <formula>$K$4&gt;3200</formula>
    </cfRule>
  </conditionalFormatting>
  <conditionalFormatting sqref="E6">
    <cfRule type="cellIs" dxfId="175" priority="20" operator="greaterThan">
      <formula>0</formula>
    </cfRule>
  </conditionalFormatting>
  <conditionalFormatting sqref="C32">
    <cfRule type="expression" dxfId="174" priority="276">
      <formula>$C$32=$BE$43</formula>
    </cfRule>
    <cfRule type="expression" dxfId="173" priority="277">
      <formula>$C$32=$BE$44</formula>
    </cfRule>
  </conditionalFormatting>
  <conditionalFormatting sqref="D22:G22">
    <cfRule type="expression" dxfId="172" priority="278">
      <formula>$D$22=$AG$40</formula>
    </cfRule>
  </conditionalFormatting>
  <conditionalFormatting sqref="C36">
    <cfRule type="expression" dxfId="171" priority="279">
      <formula>$C$36=$BE$47</formula>
    </cfRule>
  </conditionalFormatting>
  <conditionalFormatting sqref="H45">
    <cfRule type="expression" dxfId="170" priority="16">
      <formula>$H$45&gt;60</formula>
    </cfRule>
  </conditionalFormatting>
  <conditionalFormatting sqref="AH16 L12:M12 N11:S11 X11:AH11 L9:AH9 E26 F26:H30 R46:T46 K4:K5 R16:T16 H31 X23:AH23 U21:AH21 U22:AG22 U13:AH15 L10:S10 U10:AH10 T10:T15 L13:S15 U25:AH27 O21:T43 S44:T44 R45">
    <cfRule type="expression" dxfId="169" priority="345">
      <formula>$E$4=0</formula>
    </cfRule>
  </conditionalFormatting>
  <conditionalFormatting sqref="AH31">
    <cfRule type="expression" dxfId="168" priority="363">
      <formula>$E$4=0</formula>
    </cfRule>
  </conditionalFormatting>
  <conditionalFormatting sqref="K5">
    <cfRule type="expression" dxfId="167" priority="364">
      <formula>AND(OR($K$5&lt;600,$K$5&gt;1200),$E$4&gt;0)</formula>
    </cfRule>
  </conditionalFormatting>
  <conditionalFormatting sqref="E9">
    <cfRule type="expression" dxfId="166" priority="383">
      <formula>OR($E$8=$BE$11,$E$8=$BE$12)</formula>
    </cfRule>
  </conditionalFormatting>
  <conditionalFormatting sqref="E10">
    <cfRule type="expression" dxfId="165" priority="384">
      <formula>AND($E$8=$BE$12,$E$10&lt;3)</formula>
    </cfRule>
    <cfRule type="expression" dxfId="164" priority="385">
      <formula>OR($E$8=$BE$7,$E$8=$BE$8,$E$8=$BE$9,$E$8=$BE$10,$E$8=$BE$13,$E$8=$BE$14)</formula>
    </cfRule>
    <cfRule type="cellIs" dxfId="163" priority="386" operator="greaterThan">
      <formula>0</formula>
    </cfRule>
  </conditionalFormatting>
  <conditionalFormatting sqref="E4:H4">
    <cfRule type="expression" dxfId="162" priority="15">
      <formula>$E$4&gt;5000</formula>
    </cfRule>
  </conditionalFormatting>
  <conditionalFormatting sqref="U21:AF23 U24 W24:AB24 AD24:AF24 U25:AF27">
    <cfRule type="cellIs" dxfId="161" priority="13" operator="equal">
      <formula>0</formula>
    </cfRule>
  </conditionalFormatting>
  <conditionalFormatting sqref="AH28">
    <cfRule type="expression" dxfId="160" priority="14">
      <formula>$E$4=0</formula>
    </cfRule>
  </conditionalFormatting>
  <conditionalFormatting sqref="AH22">
    <cfRule type="expression" dxfId="159" priority="11">
      <formula>$E$4=0</formula>
    </cfRule>
  </conditionalFormatting>
  <conditionalFormatting sqref="T19:AH28">
    <cfRule type="expression" dxfId="158" priority="8">
      <formula>$Z$3=$BN$21</formula>
    </cfRule>
  </conditionalFormatting>
  <conditionalFormatting sqref="T7:AH16">
    <cfRule type="expression" dxfId="157" priority="7">
      <formula>$Z$3&lt;&gt;$BN$21</formula>
    </cfRule>
  </conditionalFormatting>
  <conditionalFormatting sqref="R1:AH43 S44:AH44 R45:AH46">
    <cfRule type="expression" dxfId="156" priority="5">
      <formula>$N$3=$BN$9</formula>
    </cfRule>
  </conditionalFormatting>
  <conditionalFormatting sqref="T1:AH46">
    <cfRule type="expression" dxfId="155" priority="4">
      <formula>$N$3=$BN$10</formula>
    </cfRule>
  </conditionalFormatting>
  <conditionalFormatting sqref="R7:R16 R46">
    <cfRule type="expression" dxfId="154" priority="3">
      <formula>$N$3=$BN$11</formula>
    </cfRule>
  </conditionalFormatting>
  <conditionalFormatting sqref="O44:R44">
    <cfRule type="expression" dxfId="153" priority="2">
      <formula>$E$4=0</formula>
    </cfRule>
  </conditionalFormatting>
  <conditionalFormatting sqref="R44">
    <cfRule type="expression" dxfId="152" priority="1">
      <formula>$N$3=$BN$9</formula>
    </cfRule>
  </conditionalFormatting>
  <dataValidations count="11">
    <dataValidation type="list" allowBlank="1" showInputMessage="1" showErrorMessage="1" sqref="E17:E18 E11:E12 E14:E15">
      <formula1>$BE$23:$BE$24</formula1>
    </dataValidation>
    <dataValidation type="list" allowBlank="1" showInputMessage="1" showErrorMessage="1" sqref="C26:C30">
      <formula1>$BE$27:$BE$29</formula1>
    </dataValidation>
    <dataValidation type="list" allowBlank="1" showInputMessage="1" showErrorMessage="1" sqref="E8">
      <formula1>$BE$7:$BE$14</formula1>
    </dataValidation>
    <dataValidation type="list" allowBlank="1" showInputMessage="1" showErrorMessage="1" sqref="E13">
      <formula1>$BE$36:$BE$39</formula1>
    </dataValidation>
    <dataValidation type="whole" allowBlank="1" showInputMessage="1" showErrorMessage="1" sqref="E16">
      <formula1>0</formula1>
      <formula2>20</formula2>
    </dataValidation>
    <dataValidation type="list" allowBlank="1" showInputMessage="1" showErrorMessage="1" sqref="E5">
      <formula1>$BG$59:$BG$63</formula1>
    </dataValidation>
    <dataValidation type="list" allowBlank="1" showInputMessage="1" showErrorMessage="1" sqref="E7">
      <formula1>$BE$50:$BE$57</formula1>
    </dataValidation>
    <dataValidation type="list" allowBlank="1" showInputMessage="1" showErrorMessage="1" sqref="E6">
      <formula1>$BM$6:$BM$7</formula1>
    </dataValidation>
    <dataValidation type="list" allowBlank="1" showInputMessage="1" showErrorMessage="1" sqref="Z3">
      <formula1>$BN$21:$BN$26</formula1>
    </dataValidation>
    <dataValidation type="list" allowBlank="1" showInputMessage="1" showErrorMessage="1" sqref="N3:O3">
      <formula1>$BN$9:$BN$11</formula1>
    </dataValidation>
    <dataValidation type="list" allowBlank="1" showInputMessage="1" showErrorMessage="1" sqref="E10">
      <formula1>IF($E$8=$BE$12,$BG$62:$BG$64,$BG$61:$BG$64)</formula1>
    </dataValidation>
  </dataValidations>
  <printOptions horizontalCentered="1" verticalCentered="1"/>
  <pageMargins left="0.11811023622047245" right="0.11811023622047245" top="0.74803149606299213" bottom="0.74803149606299213" header="0.31496062992125984" footer="0.31496062992125984"/>
  <pageSetup paperSize="9" scale="37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5" id="{7A2A9378-D27D-4D00-AE9B-EAD8E7731CC9}">
            <x14:iconSet iconSet="3Symbols2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D32:G32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BU70"/>
  <sheetViews>
    <sheetView zoomScale="70" zoomScaleNormal="70" zoomScalePageLayoutView="125" workbookViewId="0">
      <selection activeCell="E3" sqref="E3:H3"/>
    </sheetView>
  </sheetViews>
  <sheetFormatPr defaultColWidth="8.88671875" defaultRowHeight="14.4" x14ac:dyDescent="0.3"/>
  <cols>
    <col min="1" max="1" width="1.77734375" style="1" customWidth="1"/>
    <col min="2" max="3" width="45.77734375" style="1" customWidth="1"/>
    <col min="4" max="8" width="14.77734375" style="1" customWidth="1"/>
    <col min="9" max="9" width="1.77734375" style="1" customWidth="1"/>
    <col min="10" max="10" width="35.77734375" style="1" customWidth="1"/>
    <col min="11" max="11" width="14.77734375" style="1" customWidth="1"/>
    <col min="12" max="12" width="17.77734375" style="226" customWidth="1"/>
    <col min="13" max="13" width="14.77734375" style="226" customWidth="1"/>
    <col min="14" max="15" width="14.77734375" style="1" customWidth="1"/>
    <col min="16" max="16" width="1.77734375" style="1" customWidth="1"/>
    <col min="17" max="17" width="14.77734375" style="1" hidden="1" customWidth="1"/>
    <col min="18" max="18" width="14.77734375" style="1" customWidth="1"/>
    <col min="19" max="19" width="1.77734375" style="1" customWidth="1"/>
    <col min="20" max="20" width="25.77734375" style="1" customWidth="1"/>
    <col min="21" max="33" width="11.77734375" style="1" customWidth="1"/>
    <col min="34" max="34" width="14.77734375" style="1" customWidth="1"/>
    <col min="35" max="38" width="10.109375" style="55" hidden="1" customWidth="1"/>
    <col min="39" max="39" width="13.5546875" style="55" hidden="1" customWidth="1"/>
    <col min="40" max="40" width="12.77734375" style="55" hidden="1" customWidth="1"/>
    <col min="41" max="48" width="10.109375" style="55" hidden="1" customWidth="1"/>
    <col min="49" max="49" width="12.77734375" style="55" hidden="1" customWidth="1"/>
    <col min="50" max="54" width="8.88671875" style="1" hidden="1" customWidth="1"/>
    <col min="55" max="55" width="16.44140625" style="1" hidden="1" customWidth="1"/>
    <col min="56" max="56" width="12.6640625" style="1" hidden="1" customWidth="1"/>
    <col min="57" max="57" width="14.21875" style="1" hidden="1" customWidth="1"/>
    <col min="58" max="58" width="10.109375" style="1" hidden="1" customWidth="1"/>
    <col min="59" max="59" width="29.88671875" style="1" hidden="1" customWidth="1"/>
    <col min="60" max="65" width="8.88671875" style="1" hidden="1" customWidth="1"/>
    <col min="66" max="66" width="17.44140625" style="1" hidden="1" customWidth="1"/>
    <col min="67" max="67" width="24.6640625" style="1" hidden="1" customWidth="1"/>
    <col min="68" max="68" width="18.5546875" style="1" hidden="1" customWidth="1"/>
    <col min="69" max="73" width="8.88671875" style="1" hidden="1" customWidth="1"/>
    <col min="74" max="16384" width="8.88671875" style="1"/>
  </cols>
  <sheetData>
    <row r="1" spans="2:73" ht="25.05" customHeight="1" x14ac:dyDescent="0.3">
      <c r="B1" s="449" t="s">
        <v>110</v>
      </c>
      <c r="C1" s="449"/>
      <c r="D1" s="449"/>
      <c r="E1" s="449"/>
      <c r="F1" s="449"/>
      <c r="G1" s="449"/>
      <c r="H1" s="449"/>
      <c r="I1" s="152"/>
      <c r="J1" s="449" t="s">
        <v>111</v>
      </c>
      <c r="K1" s="449"/>
      <c r="L1" s="449"/>
      <c r="M1" s="449"/>
      <c r="N1" s="449"/>
      <c r="O1" s="449"/>
      <c r="P1" s="248"/>
      <c r="Q1" s="248"/>
      <c r="R1" s="207"/>
      <c r="S1" s="207"/>
      <c r="T1" s="207"/>
    </row>
    <row r="2" spans="2:73" ht="25.05" customHeight="1" thickBot="1" x14ac:dyDescent="0.35">
      <c r="B2" s="48"/>
      <c r="C2" s="48"/>
      <c r="D2" s="48"/>
      <c r="E2" s="48"/>
      <c r="F2" s="48"/>
      <c r="G2" s="48"/>
      <c r="H2" s="48"/>
      <c r="I2" s="48"/>
      <c r="J2" s="48"/>
      <c r="K2" s="48"/>
      <c r="L2" s="286"/>
      <c r="M2" s="286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</row>
    <row r="3" spans="2:73" s="4" customFormat="1" ht="25.05" customHeight="1" x14ac:dyDescent="0.3">
      <c r="B3" s="452" t="s">
        <v>127</v>
      </c>
      <c r="C3" s="453"/>
      <c r="D3" s="453"/>
      <c r="E3" s="459">
        <v>2600</v>
      </c>
      <c r="F3" s="459"/>
      <c r="G3" s="459"/>
      <c r="H3" s="460"/>
      <c r="J3" s="470" t="s">
        <v>281</v>
      </c>
      <c r="K3" s="471"/>
      <c r="L3" s="375"/>
      <c r="M3" s="378"/>
      <c r="N3" s="475" t="s">
        <v>489</v>
      </c>
      <c r="O3" s="476"/>
      <c r="P3" s="353"/>
      <c r="Q3" s="353"/>
      <c r="R3" s="3"/>
      <c r="S3" s="3"/>
      <c r="T3" s="3"/>
      <c r="U3" s="414" t="s">
        <v>448</v>
      </c>
      <c r="V3" s="414"/>
      <c r="W3" s="414"/>
      <c r="X3" s="414"/>
      <c r="Y3" s="414"/>
      <c r="Z3" s="413" t="s">
        <v>449</v>
      </c>
      <c r="AA3" s="413"/>
      <c r="AB3" s="3"/>
      <c r="AC3" s="3"/>
      <c r="AD3" s="3"/>
      <c r="AE3" s="3"/>
      <c r="AF3" s="3"/>
      <c r="AG3" s="3"/>
      <c r="AH3" s="3"/>
      <c r="AI3" s="3"/>
      <c r="AJ3" s="3"/>
      <c r="AL3" s="3"/>
      <c r="AM3" s="3"/>
      <c r="AN3" s="3"/>
      <c r="AO3" s="3"/>
      <c r="AP3" s="245" t="s">
        <v>449</v>
      </c>
      <c r="AQ3" s="3"/>
      <c r="AR3" s="3"/>
      <c r="AS3" s="3"/>
      <c r="AT3" s="3"/>
      <c r="AU3" s="3"/>
      <c r="AV3" s="3"/>
      <c r="AW3" s="3"/>
    </row>
    <row r="4" spans="2:73" ht="25.05" customHeight="1" x14ac:dyDescent="0.3">
      <c r="B4" s="454" t="s">
        <v>457</v>
      </c>
      <c r="C4" s="455"/>
      <c r="D4" s="455"/>
      <c r="E4" s="461">
        <v>2000</v>
      </c>
      <c r="F4" s="461"/>
      <c r="G4" s="461"/>
      <c r="H4" s="462"/>
      <c r="J4" s="21" t="s">
        <v>459</v>
      </c>
      <c r="K4" s="367">
        <f>E3-60</f>
        <v>2540</v>
      </c>
      <c r="L4" s="366" t="s">
        <v>461</v>
      </c>
      <c r="M4" s="379">
        <f>E3-60</f>
        <v>2540</v>
      </c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</row>
    <row r="5" spans="2:73" ht="25.05" customHeight="1" thickBot="1" x14ac:dyDescent="0.35">
      <c r="B5" s="454" t="s">
        <v>458</v>
      </c>
      <c r="C5" s="455"/>
      <c r="D5" s="455"/>
      <c r="E5" s="461">
        <v>2000</v>
      </c>
      <c r="F5" s="461"/>
      <c r="G5" s="461"/>
      <c r="H5" s="462"/>
      <c r="J5" s="153" t="s">
        <v>460</v>
      </c>
      <c r="K5" s="368">
        <f>ROUNDUP(IF(OR(E13=BG38,E13=BG39),(E4-10-5-34+39*(E9-1))/E9,(E4-10-34+39*(E9-1))/E9),0)</f>
        <v>678</v>
      </c>
      <c r="L5" s="369" t="s">
        <v>462</v>
      </c>
      <c r="M5" s="380">
        <f>ROUNDUP(IF(OR(E13=BG38,E13=BG39),(E5-10-5-34+39*(E10-1))/E10,(E5-10-34+39*(E10-1))/E10),0)</f>
        <v>678</v>
      </c>
      <c r="N5" s="6"/>
      <c r="O5" s="6"/>
      <c r="P5" s="354"/>
      <c r="Q5" s="354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144" t="s">
        <v>274</v>
      </c>
      <c r="AL5" s="144"/>
      <c r="AM5" s="144"/>
      <c r="AN5" s="189">
        <v>5000</v>
      </c>
      <c r="AO5" s="189"/>
      <c r="AP5" s="189"/>
      <c r="AQ5" s="189"/>
      <c r="AR5" s="189"/>
      <c r="AS5" s="189"/>
      <c r="AT5" s="189"/>
      <c r="AU5" s="189"/>
      <c r="AV5" s="189"/>
      <c r="AW5" s="189"/>
      <c r="AX5" s="190"/>
      <c r="AY5" s="190"/>
      <c r="AZ5" s="190"/>
      <c r="BA5" s="190"/>
      <c r="BB5" s="190"/>
      <c r="BC5" s="190"/>
      <c r="BD5" s="6"/>
      <c r="BE5" s="6"/>
      <c r="BF5" s="6"/>
    </row>
    <row r="6" spans="2:73" ht="25.05" customHeight="1" thickBot="1" x14ac:dyDescent="0.35">
      <c r="B6" s="454" t="s">
        <v>475</v>
      </c>
      <c r="C6" s="455"/>
      <c r="D6" s="455"/>
      <c r="E6" s="443">
        <v>0</v>
      </c>
      <c r="F6" s="443"/>
      <c r="G6" s="443"/>
      <c r="H6" s="444"/>
      <c r="J6" s="473"/>
      <c r="K6" s="473"/>
      <c r="L6" s="473"/>
      <c r="M6" s="473"/>
      <c r="N6" s="345"/>
      <c r="O6" s="345"/>
      <c r="P6" s="345"/>
      <c r="Q6" s="345"/>
      <c r="R6" s="345"/>
      <c r="S6" s="345"/>
      <c r="T6" s="345"/>
      <c r="U6" s="345"/>
      <c r="V6" s="345"/>
      <c r="W6" s="345"/>
      <c r="X6" s="345"/>
      <c r="Y6" s="345"/>
      <c r="Z6" s="345"/>
      <c r="AA6" s="345"/>
      <c r="AB6" s="345"/>
      <c r="AC6" s="345"/>
      <c r="AD6" s="345"/>
      <c r="AE6" s="345"/>
      <c r="AF6" s="345"/>
      <c r="AG6" s="345"/>
      <c r="AH6" s="345"/>
      <c r="AI6" s="3"/>
      <c r="AJ6" s="3"/>
      <c r="AK6" s="144" t="s">
        <v>275</v>
      </c>
      <c r="AL6" s="144"/>
      <c r="AM6" s="144"/>
      <c r="AN6" s="144">
        <v>5075</v>
      </c>
      <c r="AO6" s="189"/>
      <c r="AP6" s="144"/>
      <c r="AQ6" s="144"/>
      <c r="AR6" s="144"/>
      <c r="AS6" s="144"/>
      <c r="AT6" s="144"/>
      <c r="AU6" s="144"/>
      <c r="AV6" s="144"/>
      <c r="AW6" s="144"/>
      <c r="AX6" s="190"/>
      <c r="AY6" s="190"/>
      <c r="AZ6" s="190"/>
      <c r="BA6" s="190"/>
      <c r="BB6" s="190"/>
      <c r="BC6" s="190"/>
      <c r="BD6" s="6"/>
      <c r="BE6" s="6"/>
      <c r="BF6" s="6"/>
      <c r="BG6" s="51"/>
      <c r="BN6" s="1">
        <f>IF(E8=BG50,O19*Цены!I69,IF(E8=BG51,O19*Цены!I70,IF(OR(E8=BG56,E8=BG57),O19*Цены!I75,Цены!I71)))</f>
        <v>0</v>
      </c>
      <c r="BO6" s="1" t="s">
        <v>485</v>
      </c>
      <c r="BP6" s="1" t="s">
        <v>255</v>
      </c>
      <c r="BQ6" s="1">
        <f>IF(E7=BO6,9,8)</f>
        <v>9</v>
      </c>
      <c r="BU6" s="49">
        <v>0</v>
      </c>
    </row>
    <row r="7" spans="2:73" ht="25.05" customHeight="1" x14ac:dyDescent="0.3">
      <c r="B7" s="454" t="s">
        <v>254</v>
      </c>
      <c r="C7" s="455"/>
      <c r="D7" s="455"/>
      <c r="E7" s="443" t="s">
        <v>485</v>
      </c>
      <c r="F7" s="443"/>
      <c r="G7" s="443"/>
      <c r="H7" s="444"/>
      <c r="J7" s="470" t="s">
        <v>188</v>
      </c>
      <c r="K7" s="471"/>
      <c r="L7" s="471"/>
      <c r="M7" s="471"/>
      <c r="N7" s="343"/>
      <c r="O7" s="344"/>
      <c r="P7" s="345"/>
      <c r="Q7" s="345"/>
      <c r="R7" s="262"/>
      <c r="S7" s="345"/>
      <c r="T7" s="342"/>
      <c r="U7" s="426" t="s">
        <v>106</v>
      </c>
      <c r="V7" s="426"/>
      <c r="W7" s="426"/>
      <c r="X7" s="426"/>
      <c r="Y7" s="426"/>
      <c r="Z7" s="426"/>
      <c r="AA7" s="426"/>
      <c r="AB7" s="426"/>
      <c r="AC7" s="426"/>
      <c r="AD7" s="426"/>
      <c r="AE7" s="426"/>
      <c r="AF7" s="426"/>
      <c r="AG7" s="426"/>
      <c r="AH7" s="427"/>
      <c r="AI7" s="3" t="s">
        <v>283</v>
      </c>
      <c r="AJ7" s="3"/>
      <c r="AK7" s="189" t="s">
        <v>276</v>
      </c>
      <c r="AL7" s="189"/>
      <c r="AM7" s="189"/>
      <c r="AN7" s="144">
        <v>5400</v>
      </c>
      <c r="AO7" s="189"/>
      <c r="AP7" s="144"/>
      <c r="AQ7" s="144"/>
      <c r="AR7" s="144"/>
      <c r="AS7" s="144"/>
      <c r="AT7" s="144"/>
      <c r="AU7" s="144"/>
      <c r="AV7" s="144"/>
      <c r="AW7" s="144"/>
      <c r="AX7" s="190"/>
      <c r="AY7" s="190"/>
      <c r="AZ7" s="190"/>
      <c r="BA7" s="190"/>
      <c r="BB7" s="190"/>
      <c r="BC7" s="190"/>
      <c r="BD7" s="6"/>
      <c r="BE7" s="6"/>
      <c r="BF7" s="6"/>
      <c r="BG7" s="52" t="s">
        <v>101</v>
      </c>
      <c r="BN7" s="1">
        <f>IF(E8=BG50,O19*Цены!I45,IF(E8=BG51,O19*Цены!I46,IF(E8=BG52,O19*Цены!I47,IF(E8=BG53,O19*Цены!I48,O19*Цены!I51))))</f>
        <v>0</v>
      </c>
      <c r="BO7" s="1" t="s">
        <v>486</v>
      </c>
      <c r="BP7" s="1" t="s">
        <v>271</v>
      </c>
      <c r="BU7" s="49">
        <v>1</v>
      </c>
    </row>
    <row r="8" spans="2:73" ht="25.05" customHeight="1" x14ac:dyDescent="0.3">
      <c r="B8" s="454" t="s">
        <v>128</v>
      </c>
      <c r="C8" s="455"/>
      <c r="D8" s="455"/>
      <c r="E8" s="443" t="s">
        <v>243</v>
      </c>
      <c r="F8" s="443"/>
      <c r="G8" s="443"/>
      <c r="H8" s="444"/>
      <c r="J8" s="340" t="s">
        <v>0</v>
      </c>
      <c r="K8" s="341" t="s">
        <v>1</v>
      </c>
      <c r="L8" s="341" t="s">
        <v>8</v>
      </c>
      <c r="M8" s="209" t="s">
        <v>286</v>
      </c>
      <c r="N8" s="209" t="s">
        <v>107</v>
      </c>
      <c r="O8" s="243" t="s">
        <v>24</v>
      </c>
      <c r="P8" s="143"/>
      <c r="Q8" s="143"/>
      <c r="R8" s="263" t="s">
        <v>25</v>
      </c>
      <c r="S8" s="143"/>
      <c r="T8" s="333"/>
      <c r="U8" s="97">
        <v>1000</v>
      </c>
      <c r="V8" s="97">
        <v>1250</v>
      </c>
      <c r="W8" s="97">
        <v>1800</v>
      </c>
      <c r="X8" s="97">
        <v>2000</v>
      </c>
      <c r="Y8" s="97">
        <v>2500</v>
      </c>
      <c r="Z8" s="97">
        <v>2700</v>
      </c>
      <c r="AA8" s="97">
        <v>3000</v>
      </c>
      <c r="AB8" s="97">
        <v>3600</v>
      </c>
      <c r="AC8" s="97">
        <v>3750</v>
      </c>
      <c r="AD8" s="97">
        <v>4000</v>
      </c>
      <c r="AE8" s="97">
        <v>5000</v>
      </c>
      <c r="AF8" s="97">
        <v>5400</v>
      </c>
      <c r="AG8" s="209" t="s">
        <v>107</v>
      </c>
      <c r="AH8" s="53" t="s">
        <v>25</v>
      </c>
      <c r="AI8" s="54"/>
      <c r="AJ8" s="54"/>
      <c r="AK8" s="97">
        <v>1000</v>
      </c>
      <c r="AL8" s="97">
        <v>1250</v>
      </c>
      <c r="AM8" s="97">
        <v>1800</v>
      </c>
      <c r="AN8" s="97">
        <v>2000</v>
      </c>
      <c r="AO8" s="97">
        <v>2500</v>
      </c>
      <c r="AP8" s="97">
        <v>2700</v>
      </c>
      <c r="AQ8" s="97">
        <v>3000</v>
      </c>
      <c r="AR8" s="97">
        <v>3600</v>
      </c>
      <c r="AS8" s="97">
        <v>3750</v>
      </c>
      <c r="AT8" s="97">
        <v>4000</v>
      </c>
      <c r="AU8" s="97">
        <v>5000</v>
      </c>
      <c r="AV8" s="145">
        <v>5400</v>
      </c>
      <c r="AW8" s="384"/>
      <c r="AX8" s="385"/>
      <c r="AY8" s="190"/>
      <c r="AZ8" s="382"/>
      <c r="BA8" s="383"/>
      <c r="BB8" s="190"/>
      <c r="BC8" s="190"/>
      <c r="BD8" s="6"/>
      <c r="BE8" s="6"/>
      <c r="BF8" s="6"/>
      <c r="BG8" s="52" t="s">
        <v>102</v>
      </c>
      <c r="BU8" s="49">
        <v>2</v>
      </c>
    </row>
    <row r="9" spans="2:73" ht="25.05" customHeight="1" x14ac:dyDescent="0.35">
      <c r="B9" s="456" t="s">
        <v>463</v>
      </c>
      <c r="C9" s="414"/>
      <c r="D9" s="414"/>
      <c r="E9" s="443">
        <v>3</v>
      </c>
      <c r="F9" s="443"/>
      <c r="G9" s="443"/>
      <c r="H9" s="444"/>
      <c r="J9" s="22" t="s">
        <v>2</v>
      </c>
      <c r="K9" s="242" t="s">
        <v>198</v>
      </c>
      <c r="L9" s="364">
        <f>K4</f>
        <v>2540</v>
      </c>
      <c r="M9" s="362">
        <f>(E9+E10)*2</f>
        <v>12</v>
      </c>
      <c r="N9" s="364"/>
      <c r="O9" s="372">
        <f>IF(L9&gt;2650,M9,M9/2)</f>
        <v>6</v>
      </c>
      <c r="P9" s="253"/>
      <c r="Q9" s="253"/>
      <c r="R9" s="373">
        <f>IF(E8=BG50,O9*Цены!I8,IF(E8=BG51,O9*Цены!I9,IF(E8=BG52,O9*Цены!I10,IF(E8=BG53,O9*Цены!I11,O9*Цены!I14))))</f>
        <v>26321.879999999997</v>
      </c>
      <c r="S9" s="259"/>
      <c r="T9" s="328" t="str">
        <f t="shared" ref="T9:T20" si="0">J9</f>
        <v>вертикальный профиль</v>
      </c>
      <c r="U9" s="348">
        <f>AK9</f>
        <v>0</v>
      </c>
      <c r="V9" s="348"/>
      <c r="W9" s="348">
        <f t="shared" ref="W9:AB9" si="1">AM9</f>
        <v>0</v>
      </c>
      <c r="X9" s="348">
        <f t="shared" si="1"/>
        <v>0</v>
      </c>
      <c r="Y9" s="348">
        <f t="shared" si="1"/>
        <v>0</v>
      </c>
      <c r="Z9" s="348">
        <f t="shared" si="1"/>
        <v>0</v>
      </c>
      <c r="AA9" s="348">
        <f t="shared" si="1"/>
        <v>0</v>
      </c>
      <c r="AB9" s="348">
        <f t="shared" si="1"/>
        <v>0</v>
      </c>
      <c r="AC9" s="348"/>
      <c r="AD9" s="348">
        <f>AT9</f>
        <v>0</v>
      </c>
      <c r="AE9" s="348">
        <f>AU9</f>
        <v>0</v>
      </c>
      <c r="AF9" s="348">
        <f>AV9</f>
        <v>6</v>
      </c>
      <c r="AG9" s="388"/>
      <c r="AH9" s="246">
        <f>R9</f>
        <v>26321.879999999997</v>
      </c>
      <c r="AI9" s="403">
        <v>0.69</v>
      </c>
      <c r="AJ9" s="3">
        <f>AI9*L9*M9/1000</f>
        <v>21.031199999999998</v>
      </c>
      <c r="AK9" s="144"/>
      <c r="AL9" s="144"/>
      <c r="AM9" s="144"/>
      <c r="AN9" s="144"/>
      <c r="AO9" s="144"/>
      <c r="AP9" s="144"/>
      <c r="AQ9" s="144"/>
      <c r="AR9" s="144"/>
      <c r="AS9" s="144"/>
      <c r="AT9" s="144"/>
      <c r="AU9" s="144"/>
      <c r="AV9" s="325">
        <f>O9</f>
        <v>6</v>
      </c>
      <c r="AW9" s="144"/>
      <c r="AX9" s="192"/>
      <c r="AY9" s="192"/>
      <c r="BC9" s="192"/>
      <c r="BD9" s="147"/>
      <c r="BE9" s="147"/>
      <c r="BF9" s="147"/>
      <c r="BG9" s="52" t="s">
        <v>103</v>
      </c>
      <c r="BN9" s="1" t="s">
        <v>489</v>
      </c>
    </row>
    <row r="10" spans="2:73" ht="25.05" customHeight="1" thickBot="1" x14ac:dyDescent="0.35">
      <c r="B10" s="457" t="s">
        <v>464</v>
      </c>
      <c r="C10" s="458"/>
      <c r="D10" s="458"/>
      <c r="E10" s="443">
        <v>3</v>
      </c>
      <c r="F10" s="443"/>
      <c r="G10" s="443"/>
      <c r="H10" s="444"/>
      <c r="J10" s="350" t="s">
        <v>482</v>
      </c>
      <c r="K10" s="240" t="s">
        <v>483</v>
      </c>
      <c r="L10" s="364">
        <f>L9</f>
        <v>2540</v>
      </c>
      <c r="M10" s="362">
        <v>2</v>
      </c>
      <c r="N10" s="351"/>
      <c r="O10" s="372">
        <f>IF(L10&gt;2650,M10,M10/2)</f>
        <v>1</v>
      </c>
      <c r="P10" s="51"/>
      <c r="Q10" s="51"/>
      <c r="R10" s="395">
        <f>IF(E8=BG50,O10*Цены!I53,IF(E8=BG51,O10*Цены!I54,IF(E8=BG52,O10*Цены!I55,IF(E8=BG53,O10*Цены!I56,O10*Цены!I58))))</f>
        <v>2587.35</v>
      </c>
      <c r="S10" s="259"/>
      <c r="T10" s="328" t="str">
        <f t="shared" si="0"/>
        <v>угловой профиль</v>
      </c>
      <c r="U10" s="190"/>
      <c r="V10" s="190"/>
      <c r="W10" s="190"/>
      <c r="X10" s="190"/>
      <c r="Y10" s="190"/>
      <c r="Z10" s="190"/>
      <c r="AA10" s="190"/>
      <c r="AB10" s="190"/>
      <c r="AC10" s="190"/>
      <c r="AD10" s="190"/>
      <c r="AE10" s="190"/>
      <c r="AF10" s="348">
        <f>AV10</f>
        <v>1</v>
      </c>
      <c r="AG10" s="190"/>
      <c r="AH10" s="246">
        <f>R10</f>
        <v>2587.35</v>
      </c>
      <c r="AI10" s="406">
        <v>0.36899999999999999</v>
      </c>
      <c r="AJ10" s="3">
        <f>AI10*L10*M10/1000</f>
        <v>1.87452</v>
      </c>
      <c r="AV10" s="325">
        <f>O10</f>
        <v>1</v>
      </c>
      <c r="AZ10" s="192" t="s">
        <v>474</v>
      </c>
      <c r="BA10" s="192"/>
      <c r="BB10" s="192" t="s">
        <v>473</v>
      </c>
      <c r="BF10" s="3"/>
      <c r="BG10" s="52" t="s">
        <v>163</v>
      </c>
      <c r="BN10" s="1" t="s">
        <v>487</v>
      </c>
    </row>
    <row r="11" spans="2:73" ht="25.05" customHeight="1" x14ac:dyDescent="0.3">
      <c r="B11" s="457" t="s">
        <v>263</v>
      </c>
      <c r="C11" s="458"/>
      <c r="D11" s="458"/>
      <c r="E11" s="441" t="s">
        <v>105</v>
      </c>
      <c r="F11" s="441"/>
      <c r="G11" s="441"/>
      <c r="H11" s="442"/>
      <c r="J11" s="22" t="s">
        <v>465</v>
      </c>
      <c r="K11" s="239" t="s">
        <v>200</v>
      </c>
      <c r="L11" s="364">
        <f>E4-8</f>
        <v>1992</v>
      </c>
      <c r="M11" s="362">
        <f>E9</f>
        <v>3</v>
      </c>
      <c r="N11" s="474">
        <f>L11*M11+L12*M12</f>
        <v>11952</v>
      </c>
      <c r="O11" s="429">
        <f>AE11+Y11</f>
        <v>3</v>
      </c>
      <c r="P11" s="253"/>
      <c r="Q11" s="253"/>
      <c r="R11" s="430">
        <f>IF(OR(E8=BG51,E8=BG57,E8=BG54),O11*Цены!I25,O11*Цены!I24)</f>
        <v>14146.26</v>
      </c>
      <c r="T11" s="328" t="str">
        <f t="shared" si="0"/>
        <v>направляющая верхняя А</v>
      </c>
      <c r="U11" s="423"/>
      <c r="V11" s="423"/>
      <c r="W11" s="423"/>
      <c r="X11" s="423"/>
      <c r="Y11" s="423">
        <f>AO11</f>
        <v>0</v>
      </c>
      <c r="Z11" s="423"/>
      <c r="AA11" s="423"/>
      <c r="AB11" s="423"/>
      <c r="AC11" s="423"/>
      <c r="AD11" s="423"/>
      <c r="AE11" s="423">
        <f t="shared" ref="AE11" si="2">AU11</f>
        <v>3</v>
      </c>
      <c r="AF11" s="423"/>
      <c r="AG11" s="486">
        <f>Y11*Y8+AE11*$AE$8</f>
        <v>15000</v>
      </c>
      <c r="AH11" s="431">
        <f>IF(OR($E$8=$BG$51,$E$8=$BG$57,$E$8=$BG$54),Y11*Цены!$I$25*0.5+AE11*Цены!$I$25,
Y11*Цены!$I$24*0.5+AE11*Цены!$I$24)</f>
        <v>14146.26</v>
      </c>
      <c r="AI11" s="3"/>
      <c r="AJ11" s="3"/>
      <c r="AK11" s="146"/>
      <c r="AL11" s="146"/>
      <c r="AM11" s="146"/>
      <c r="AN11" s="146"/>
      <c r="AO11" s="144">
        <f>IF(AND((E4+E5)&gt;AN5,AZ11=1),1,0)</f>
        <v>0</v>
      </c>
      <c r="AP11" s="146"/>
      <c r="AQ11" s="146"/>
      <c r="AR11" s="146"/>
      <c r="AS11" s="146"/>
      <c r="AT11" s="146"/>
      <c r="AU11" s="144">
        <f>IF(E4+E5&lt;=5000,BB11,IF(AND(AW11&gt;2500,AW11&lt;=5000),AX11+1,AX11)+IF(AND(AW12&gt;2500,AW12&lt;=5000),AX12+1,AX12)+IF(AZ11=2,1,0))</f>
        <v>3</v>
      </c>
      <c r="AV11" s="146"/>
      <c r="AW11" s="189">
        <f>L11*M11-INT($AN$5/L11)*L11*AX11</f>
        <v>1992</v>
      </c>
      <c r="AX11" s="144">
        <f>IF(E4&gt;AN5,0,INT(M11/INT($AN$5/L11)))</f>
        <v>1</v>
      </c>
      <c r="AY11" s="144"/>
      <c r="AZ11" s="144">
        <f>IF(AND(AW11&gt;0,AW11&lt;=2500),1,0)+IF(AND(AW12&gt;0,AW12&lt;=2500),1,0)</f>
        <v>2</v>
      </c>
      <c r="BA11" s="144"/>
      <c r="BB11" s="144">
        <f>ROUNDUP(IF($E$4+$E$5&lt;=5000,$N$11/$AN$5,0),0)</f>
        <v>3</v>
      </c>
      <c r="BC11" s="144"/>
      <c r="BD11" s="3"/>
      <c r="BE11" s="3"/>
      <c r="BF11" s="147"/>
      <c r="BG11" s="52" t="s">
        <v>112</v>
      </c>
      <c r="BN11" s="1" t="s">
        <v>488</v>
      </c>
    </row>
    <row r="12" spans="2:73" ht="25.05" customHeight="1" x14ac:dyDescent="0.3">
      <c r="B12" s="439" t="s">
        <v>491</v>
      </c>
      <c r="C12" s="440"/>
      <c r="D12" s="440"/>
      <c r="E12" s="441" t="s">
        <v>105</v>
      </c>
      <c r="F12" s="441"/>
      <c r="G12" s="441"/>
      <c r="H12" s="442"/>
      <c r="J12" s="22" t="s">
        <v>466</v>
      </c>
      <c r="K12" s="239" t="s">
        <v>200</v>
      </c>
      <c r="L12" s="364">
        <f>E5-8</f>
        <v>1992</v>
      </c>
      <c r="M12" s="362">
        <f>E10</f>
        <v>3</v>
      </c>
      <c r="N12" s="474"/>
      <c r="O12" s="429"/>
      <c r="P12" s="51"/>
      <c r="Q12" s="51"/>
      <c r="R12" s="430"/>
      <c r="S12" s="259"/>
      <c r="T12" s="328" t="str">
        <f t="shared" si="0"/>
        <v>направляющая верхняя Б</v>
      </c>
      <c r="U12" s="423"/>
      <c r="V12" s="423"/>
      <c r="W12" s="423"/>
      <c r="X12" s="423"/>
      <c r="Y12" s="423"/>
      <c r="Z12" s="423"/>
      <c r="AA12" s="423"/>
      <c r="AB12" s="423"/>
      <c r="AC12" s="423"/>
      <c r="AD12" s="423"/>
      <c r="AE12" s="423"/>
      <c r="AF12" s="423"/>
      <c r="AG12" s="486"/>
      <c r="AH12" s="431"/>
      <c r="AO12" s="144"/>
      <c r="AU12" s="144"/>
      <c r="AW12" s="189">
        <f>L12*M12-INT($AN$5/L12)*L12*AX12</f>
        <v>1992</v>
      </c>
      <c r="AX12" s="144">
        <f>IF(E5&gt;AN5,0,INT(M12/INT($AN$5/L12)))</f>
        <v>1</v>
      </c>
      <c r="AZ12" s="144"/>
      <c r="BB12" s="144"/>
      <c r="BF12" s="147"/>
      <c r="BG12" s="52" t="s">
        <v>136</v>
      </c>
    </row>
    <row r="13" spans="2:73" ht="25.05" customHeight="1" x14ac:dyDescent="0.3">
      <c r="B13" s="445" t="s">
        <v>164</v>
      </c>
      <c r="C13" s="446"/>
      <c r="D13" s="446"/>
      <c r="E13" s="441" t="s">
        <v>86</v>
      </c>
      <c r="F13" s="441"/>
      <c r="G13" s="441"/>
      <c r="H13" s="442"/>
      <c r="J13" s="360" t="s">
        <v>467</v>
      </c>
      <c r="K13" s="242" t="s">
        <v>201</v>
      </c>
      <c r="L13" s="371">
        <f>E4</f>
        <v>2000</v>
      </c>
      <c r="M13" s="362">
        <v>2</v>
      </c>
      <c r="N13" s="474">
        <f>L13*M13+L14*M14</f>
        <v>8000</v>
      </c>
      <c r="O13" s="429">
        <f>AE13+Y13</f>
        <v>2</v>
      </c>
      <c r="P13" s="253"/>
      <c r="Q13" s="253"/>
      <c r="R13" s="430">
        <f>IF(E8=BG50,O13*Цены!I16,IF(E8=BG51,O13*Цены!I17,IF(E8=BG52,O13*Цены!I18,IF(E8=BG53,O13*Цены!I19,O13*Цены!I22))))</f>
        <v>3069.46</v>
      </c>
      <c r="S13" s="259"/>
      <c r="T13" s="328" t="str">
        <f t="shared" si="0"/>
        <v>накладка декоративная А</v>
      </c>
      <c r="U13" s="423"/>
      <c r="V13" s="423"/>
      <c r="W13" s="423"/>
      <c r="X13" s="423"/>
      <c r="Y13" s="423">
        <f>AO13</f>
        <v>0</v>
      </c>
      <c r="Z13" s="423"/>
      <c r="AA13" s="423"/>
      <c r="AB13" s="423"/>
      <c r="AC13" s="423"/>
      <c r="AD13" s="423"/>
      <c r="AE13" s="423">
        <f>AU13</f>
        <v>2</v>
      </c>
      <c r="AF13" s="423"/>
      <c r="AG13" s="486">
        <f>Y13*Y8+AE13*$AE$8</f>
        <v>10000</v>
      </c>
      <c r="AH13" s="431">
        <f>IF($E$8=$BG$50,(Y13*0.5+AE13)*Цены!$I$16,
IF($E$8=$BG$51,(Y13*0.5+AE13)*Цены!$I$17,
IF($E$8=$BG$52,(Y13*0.5+AE13)*Цены!$I$18,
IF($E$8=BG53,(Y13*0.5+AE13)*Цены!$I$19,
(Y13*0.5+AE13)*Цены!$I$22))))</f>
        <v>3069.46</v>
      </c>
      <c r="AI13" s="3"/>
      <c r="AJ13" s="3"/>
      <c r="AK13" s="146"/>
      <c r="AL13" s="146"/>
      <c r="AM13" s="146"/>
      <c r="AN13" s="146"/>
      <c r="AO13" s="144">
        <f t="shared" ref="AO13" si="3">IF(AZ13=1,1,0)</f>
        <v>0</v>
      </c>
      <c r="AP13" s="146"/>
      <c r="AQ13" s="146"/>
      <c r="AR13" s="146"/>
      <c r="AS13" s="146"/>
      <c r="AT13" s="146"/>
      <c r="AU13" s="144">
        <f>IF(E4+E5&lt;=5075,BB13,IF(AND(AW13&gt;2500,AW13&lt;=5000),AX13+1,AX13)+IF(AND(AW14&gt;2500,AW14&lt;=5000),AX14+1,AX14)+IF(AZ13=2,1,0))</f>
        <v>2</v>
      </c>
      <c r="AV13" s="146"/>
      <c r="AW13" s="189">
        <f>L13*M13-INT($AN$6/L13)*L13*AX13</f>
        <v>0</v>
      </c>
      <c r="AX13" s="144">
        <f>IF($E$4&gt;$AN$5,0,INT(M13/INT($AN$6/L13)))</f>
        <v>1</v>
      </c>
      <c r="AY13" s="144"/>
      <c r="AZ13" s="144">
        <f t="shared" ref="AZ13" si="4">IF(AND(AW13&gt;0,AW13&lt;=2500),1,0)+IF(AND(AW14&gt;0,AW14&lt;=2500),1,0)</f>
        <v>0</v>
      </c>
      <c r="BA13" s="192"/>
      <c r="BB13" s="144">
        <f>ROUNDUP(IF($E$4+$E$5&lt;=5075,N13/AN6,0),0)</f>
        <v>2</v>
      </c>
      <c r="BC13" s="192"/>
      <c r="BD13" s="147"/>
      <c r="BE13" s="147"/>
      <c r="BF13" s="147"/>
      <c r="BG13" s="52" t="s">
        <v>189</v>
      </c>
    </row>
    <row r="14" spans="2:73" ht="25.05" customHeight="1" x14ac:dyDescent="0.3">
      <c r="B14" s="439" t="s">
        <v>131</v>
      </c>
      <c r="C14" s="440"/>
      <c r="D14" s="440"/>
      <c r="E14" s="441" t="s">
        <v>105</v>
      </c>
      <c r="F14" s="441"/>
      <c r="G14" s="441"/>
      <c r="H14" s="442"/>
      <c r="J14" s="360" t="s">
        <v>468</v>
      </c>
      <c r="K14" s="242" t="s">
        <v>201</v>
      </c>
      <c r="L14" s="131">
        <f>E5</f>
        <v>2000</v>
      </c>
      <c r="M14" s="132">
        <v>2</v>
      </c>
      <c r="N14" s="474"/>
      <c r="O14" s="429"/>
      <c r="P14" s="253"/>
      <c r="Q14" s="253"/>
      <c r="R14" s="430"/>
      <c r="S14" s="259"/>
      <c r="T14" s="328" t="str">
        <f t="shared" si="0"/>
        <v>накладка декоративная Б</v>
      </c>
      <c r="U14" s="423"/>
      <c r="V14" s="423"/>
      <c r="W14" s="423"/>
      <c r="X14" s="423"/>
      <c r="Y14" s="423"/>
      <c r="Z14" s="423"/>
      <c r="AA14" s="423"/>
      <c r="AB14" s="423"/>
      <c r="AC14" s="423"/>
      <c r="AD14" s="423"/>
      <c r="AE14" s="423"/>
      <c r="AF14" s="423"/>
      <c r="AG14" s="486"/>
      <c r="AH14" s="431"/>
      <c r="AI14" s="3"/>
      <c r="AJ14" s="3"/>
      <c r="AK14" s="144"/>
      <c r="AL14" s="144"/>
      <c r="AM14" s="144"/>
      <c r="AN14" s="144"/>
      <c r="AO14" s="144"/>
      <c r="AP14" s="144"/>
      <c r="AQ14" s="144"/>
      <c r="AR14" s="144"/>
      <c r="AS14" s="144"/>
      <c r="AT14" s="144"/>
      <c r="AU14" s="144"/>
      <c r="AV14" s="144"/>
      <c r="AW14" s="189">
        <f>L14*M14-INT($AN$6/L14)*L14*AX14</f>
        <v>0</v>
      </c>
      <c r="AX14" s="144">
        <f>IF($E$4&gt;$AN$5,0,INT(M14/INT($AN$6/L14)))</f>
        <v>1</v>
      </c>
      <c r="AY14" s="144"/>
      <c r="AZ14" s="144"/>
      <c r="BA14" s="192"/>
      <c r="BB14" s="192"/>
      <c r="BC14" s="192"/>
      <c r="BD14" s="147"/>
      <c r="BE14" s="147"/>
      <c r="BF14" s="155"/>
      <c r="BG14" s="1" t="s">
        <v>197</v>
      </c>
      <c r="BP14" s="1" t="s">
        <v>180</v>
      </c>
    </row>
    <row r="15" spans="2:73" ht="25.05" customHeight="1" x14ac:dyDescent="0.3">
      <c r="B15" s="439" t="s">
        <v>171</v>
      </c>
      <c r="C15" s="440"/>
      <c r="D15" s="440"/>
      <c r="E15" s="443" t="s">
        <v>105</v>
      </c>
      <c r="F15" s="443"/>
      <c r="G15" s="443"/>
      <c r="H15" s="444"/>
      <c r="J15" s="22" t="s">
        <v>469</v>
      </c>
      <c r="K15" s="242" t="s">
        <v>270</v>
      </c>
      <c r="L15" s="364">
        <f>K5-78</f>
        <v>600</v>
      </c>
      <c r="M15" s="362">
        <f>E9</f>
        <v>3</v>
      </c>
      <c r="N15" s="474">
        <f>L15*M15+L16*M16</f>
        <v>3600</v>
      </c>
      <c r="O15" s="429">
        <f>AX15+AX16+IF(AW15+AW16&gt;AN5,2,IF(AW15+AW16=0,0,1))</f>
        <v>1</v>
      </c>
      <c r="P15" s="253"/>
      <c r="Q15" s="253"/>
      <c r="R15" s="430">
        <f>IF(E8=BG50,O15*Цены!I29,IF(E8=BG51,O15*Цены!I30,IF(E8=BG52,O15*Цены!I31,IF(E8=BG53,O15*Цены!I32,O15*Цены!I35))))</f>
        <v>2648.86</v>
      </c>
      <c r="T15" s="328" t="str">
        <f t="shared" si="0"/>
        <v>рамка верхняя А</v>
      </c>
      <c r="U15" s="423">
        <f>IF(AZ15&lt;&gt;1,AK15,0)</f>
        <v>0</v>
      </c>
      <c r="V15" s="423"/>
      <c r="W15" s="423"/>
      <c r="X15" s="423">
        <f>IF(AZ15&lt;&gt;1,AN15,0)</f>
        <v>0</v>
      </c>
      <c r="Y15" s="423"/>
      <c r="Z15" s="423"/>
      <c r="AA15" s="423">
        <f>IF(AZ15&lt;&gt;1,AQ15,0)</f>
        <v>0</v>
      </c>
      <c r="AB15" s="423"/>
      <c r="AC15" s="423"/>
      <c r="AD15" s="423">
        <f>IF(AZ15&lt;&gt;1,AT15,0)</f>
        <v>1</v>
      </c>
      <c r="AE15" s="423">
        <f>AU15</f>
        <v>0</v>
      </c>
      <c r="AF15" s="423"/>
      <c r="AG15" s="486">
        <f>U15*$U$8+X15*$X$8+AA15*$AA$8+AD15*$AD$8+AE15*$AE$8</f>
        <v>4000</v>
      </c>
      <c r="AH15" s="431">
        <f>IF($E$8=$BG$50,(U15*0.2+X15*0.4+AA15*0.6+AD15*0.8+AE15)*Цены!$I$29,
IF($E$8=$BG$51,(U15*0.2+X15*0.4+AA15*0.6+AD15*0.8+AE15)*Цены!$I$30,
IF($E$8=$BG$52,(U15*0.2+X15*0.4+AA15*0.6+AD15*0.8+AE15)*Цены!$I$31,
IF($E$8=$BG$53,(U15*0.2+X15*0.4+AA15*0.6+AD15*0.8+AE15)*Цены!$I$32,
(U15*0.2+X15*0.4+AA15*0.6+AD15*0.8+AE15)*Цены!$I$35))))</f>
        <v>2119.0880000000002</v>
      </c>
      <c r="AI15" s="404">
        <v>0.47399999999999998</v>
      </c>
      <c r="AJ15" s="3">
        <f t="shared" ref="AJ15:AJ20" si="5">AI15*L15*M15/1000</f>
        <v>0.85319999999999996</v>
      </c>
      <c r="AK15" s="144">
        <f>IF(AND((AW15+AW16)&gt;0,(AW15+AW16)&lt;=1000),1,0)</f>
        <v>0</v>
      </c>
      <c r="AL15" s="146"/>
      <c r="AM15" s="146"/>
      <c r="AN15" s="144">
        <f>IF(AND((AW15+AW16)&gt;1000,(AW15+AW16)&lt;=2000),1,0)</f>
        <v>0</v>
      </c>
      <c r="AO15" s="146"/>
      <c r="AP15" s="146"/>
      <c r="AQ15" s="144">
        <f>IF(AND((AW15+AW16)&gt;2000,(AW15+AW16)&lt;=3000),1,0)+IF(AND(AW15&gt;2000,AW15&lt;=3000),1,0)+IF(AND(AW16&gt;2000,AW16&lt;=3000),1,0)</f>
        <v>0</v>
      </c>
      <c r="AR15" s="146"/>
      <c r="AS15" s="146"/>
      <c r="AT15" s="144">
        <f>IF(AND(AW15&gt;3000,AW15&lt;=4000),1,0)+IF(AND(AW16&gt;3000,AW16&lt;=4000),1,0)+IF(AND((AW15+AW16)&gt;3000,(AW15+AW16)&lt;=4000),1,0)</f>
        <v>1</v>
      </c>
      <c r="AU15" s="144">
        <f>IF(AZ15=1,0,IF(AND(AW15&gt;4000,AW15&lt;=5000),1,0)+IF(AND(AW16&gt;4000,AW16&lt;=5000),1,0))+AZ15+AX15+AX16</f>
        <v>0</v>
      </c>
      <c r="AV15" s="146"/>
      <c r="AW15" s="189">
        <f>L15*M15-INT($AN$5/L15)*L15*AX15</f>
        <v>1800</v>
      </c>
      <c r="AX15" s="144">
        <f>INT(M15/INT($AN$5/L15))</f>
        <v>0</v>
      </c>
      <c r="AY15" s="144"/>
      <c r="AZ15" s="144">
        <f>IF(AND((AW15+AW16)&gt;4000,(AW15+AW16)&lt;=5000),1,0)</f>
        <v>0</v>
      </c>
      <c r="BA15" s="192"/>
      <c r="BB15" s="192"/>
      <c r="BC15" s="192"/>
      <c r="BD15" s="147"/>
      <c r="BE15" s="147"/>
      <c r="BF15" s="147"/>
      <c r="BP15" s="1" t="s">
        <v>181</v>
      </c>
    </row>
    <row r="16" spans="2:73" ht="25.05" customHeight="1" x14ac:dyDescent="0.3">
      <c r="B16" s="445" t="s">
        <v>176</v>
      </c>
      <c r="C16" s="446"/>
      <c r="D16" s="446"/>
      <c r="E16" s="443">
        <v>0</v>
      </c>
      <c r="F16" s="443"/>
      <c r="G16" s="443"/>
      <c r="H16" s="444"/>
      <c r="J16" s="22" t="s">
        <v>470</v>
      </c>
      <c r="K16" s="242" t="s">
        <v>270</v>
      </c>
      <c r="L16" s="364">
        <f>M5-78</f>
        <v>600</v>
      </c>
      <c r="M16" s="362">
        <f>E10</f>
        <v>3</v>
      </c>
      <c r="N16" s="474"/>
      <c r="O16" s="429"/>
      <c r="P16" s="51"/>
      <c r="Q16" s="51"/>
      <c r="R16" s="430"/>
      <c r="S16" s="259"/>
      <c r="T16" s="328" t="str">
        <f t="shared" si="0"/>
        <v>рамка верхняя Б</v>
      </c>
      <c r="U16" s="423"/>
      <c r="V16" s="423"/>
      <c r="W16" s="423"/>
      <c r="X16" s="423"/>
      <c r="Y16" s="423"/>
      <c r="Z16" s="423"/>
      <c r="AA16" s="423"/>
      <c r="AB16" s="423"/>
      <c r="AC16" s="423"/>
      <c r="AD16" s="423"/>
      <c r="AE16" s="423"/>
      <c r="AF16" s="423"/>
      <c r="AG16" s="486"/>
      <c r="AH16" s="431"/>
      <c r="AI16" s="404">
        <v>0.47399999999999998</v>
      </c>
      <c r="AJ16" s="3">
        <f t="shared" si="5"/>
        <v>0.85319999999999996</v>
      </c>
      <c r="AK16" s="144"/>
      <c r="AL16" s="146"/>
      <c r="AM16" s="146"/>
      <c r="AN16" s="144"/>
      <c r="AO16" s="146"/>
      <c r="AP16" s="146"/>
      <c r="AQ16" s="144"/>
      <c r="AR16" s="146"/>
      <c r="AS16" s="146"/>
      <c r="AT16" s="144"/>
      <c r="AU16" s="144"/>
      <c r="AW16" s="189">
        <f>L16*M16-INT($AN$5/L16)*L16*AX16</f>
        <v>1800</v>
      </c>
      <c r="AX16" s="144">
        <f>INT(M16/INT($AN$5/L16))</f>
        <v>0</v>
      </c>
      <c r="AZ16" s="144"/>
      <c r="BA16" s="192"/>
      <c r="BF16" s="4"/>
    </row>
    <row r="17" spans="2:68" ht="25.05" customHeight="1" thickBot="1" x14ac:dyDescent="0.35">
      <c r="B17" s="447" t="s">
        <v>170</v>
      </c>
      <c r="C17" s="448"/>
      <c r="D17" s="448"/>
      <c r="E17" s="450" t="s">
        <v>105</v>
      </c>
      <c r="F17" s="450"/>
      <c r="G17" s="450"/>
      <c r="H17" s="451"/>
      <c r="J17" s="22" t="s">
        <v>471</v>
      </c>
      <c r="K17" s="242" t="s">
        <v>199</v>
      </c>
      <c r="L17" s="364">
        <f>K5-78</f>
        <v>600</v>
      </c>
      <c r="M17" s="362">
        <f>E9</f>
        <v>3</v>
      </c>
      <c r="N17" s="474">
        <f>L17*M17+L18*M18</f>
        <v>3600</v>
      </c>
      <c r="O17" s="429">
        <f>AX17+AX18+IF(AW17+AW18&gt;AN5,2,IF(AW17+AW18=0,0,1))</f>
        <v>1</v>
      </c>
      <c r="P17" s="253"/>
      <c r="Q17" s="253"/>
      <c r="R17" s="430">
        <f>IF(E8=BG50,O17*Цены!I37,IF(E8=BG51,O17*Цены!I38,IF(E8=BG52,O17*Цены!I39,IF(E8=BG53,O17*Цены!I40,O17*Цены!I43))))</f>
        <v>2181.79</v>
      </c>
      <c r="T17" s="328" t="str">
        <f t="shared" si="0"/>
        <v>рамка нижняя А</v>
      </c>
      <c r="U17" s="423">
        <f>IF(AZ17&lt;&gt;1,AK17,0)</f>
        <v>0</v>
      </c>
      <c r="V17" s="423"/>
      <c r="W17" s="423"/>
      <c r="X17" s="423">
        <f>IF(AZ17&lt;&gt;1,AN17,0)</f>
        <v>0</v>
      </c>
      <c r="Y17" s="423"/>
      <c r="Z17" s="423"/>
      <c r="AA17" s="423">
        <f>IF(AZ17&lt;&gt;1,AQ17,0)</f>
        <v>0</v>
      </c>
      <c r="AB17" s="423"/>
      <c r="AC17" s="423"/>
      <c r="AD17" s="423">
        <f>IF(AZ17&lt;&gt;1,AT17,0)</f>
        <v>1</v>
      </c>
      <c r="AE17" s="423">
        <f>AU17</f>
        <v>0</v>
      </c>
      <c r="AF17" s="423"/>
      <c r="AG17" s="486">
        <f>U17*$U$8+X17*$X$8+AA17*$AA$8+AD17*$AD$8+AE17*$AE$8</f>
        <v>4000</v>
      </c>
      <c r="AH17" s="431">
        <f>IF($E$8=$BG$50,(U17*0.2+X17*0.4+AA17*0.6+AD17*0.8+AE17)*Цены!$I$37,
IF($E$8=$BG$51,(U17*0.2+X17*0.4+AA17*0.6+AD17*0.8+AE17)*Цены!$I$38,
IF($E$8=$BG$52,(U17*0.2+X17*0.4+AA17*0.6+AD17*0.8+AE17)*Цены!$I$39,
IF($E$8=$BG$53,(U17*0.2+X17*0.4+AA17*0.6+AD17*0.8+AE17)*Цены!$I$40,
(U17*0.2+X17*0.4+AA17*0.6+AD17*0.8+AE17)*Цены!$I$43))))</f>
        <v>1745.432</v>
      </c>
      <c r="AI17" s="404">
        <v>0.379</v>
      </c>
      <c r="AJ17" s="3">
        <f t="shared" si="5"/>
        <v>0.68220000000000003</v>
      </c>
      <c r="AK17" s="144">
        <f t="shared" ref="AK17" si="6">IF(AND((AW17+AW18)&gt;0,(AW17+AW18)&lt;=1000),1,0)</f>
        <v>0</v>
      </c>
      <c r="AL17" s="146"/>
      <c r="AM17" s="146"/>
      <c r="AN17" s="144">
        <f t="shared" ref="AN17" si="7">IF(AND((AW17+AW18)&gt;1000,(AW17+AW18)&lt;=2000),1,0)</f>
        <v>0</v>
      </c>
      <c r="AO17" s="146"/>
      <c r="AP17" s="146"/>
      <c r="AQ17" s="144">
        <f>IF(AND((AW17+AW18)&gt;2000,(AW17+AW18)&lt;=3000),1,0)+IF(AND(AW17&gt;2000,AW17&lt;=3000),1,0)+IF(AND(AW18&gt;2000,AW18&lt;=3000),1,0)</f>
        <v>0</v>
      </c>
      <c r="AR17" s="146"/>
      <c r="AS17" s="146"/>
      <c r="AT17" s="144">
        <f>IF(AND(AW17&gt;3000,AW17&lt;=4000),1,0)+IF(AND(AW18&gt;3000,AW18&lt;=4000),1,0)+IF(AND((AW17+AW18)&gt;3000,(AW17+AW18)&lt;=4000),1,0)</f>
        <v>1</v>
      </c>
      <c r="AU17" s="144">
        <f>IF(AZ15=1,0,IF(AND(AW17&gt;4000,AW17&lt;=5000),1,0)+IF(AND(AW18&gt;4000,AW18&lt;=5000),1,0))+AZ17+AX17+AX18</f>
        <v>0</v>
      </c>
      <c r="AV17" s="146"/>
      <c r="AW17" s="189">
        <f>L17*M17-INT($AN$5/L17)*L17*AX17</f>
        <v>1800</v>
      </c>
      <c r="AX17" s="144">
        <f>INT(M17/INT($AN$5/L17))</f>
        <v>0</v>
      </c>
      <c r="AY17" s="144"/>
      <c r="AZ17" s="144">
        <f t="shared" ref="AZ17" si="8">IF(AND((AW17+AW18)&gt;4000,(AW17+AW18)&lt;=5000),1,0)</f>
        <v>0</v>
      </c>
      <c r="BA17" s="192"/>
      <c r="BG17" s="1" t="s">
        <v>184</v>
      </c>
    </row>
    <row r="18" spans="2:68" ht="25.05" customHeight="1" thickBot="1" x14ac:dyDescent="0.35">
      <c r="B18" s="1" t="s">
        <v>490</v>
      </c>
      <c r="J18" s="22" t="s">
        <v>472</v>
      </c>
      <c r="K18" s="242" t="s">
        <v>199</v>
      </c>
      <c r="L18" s="364">
        <f>M5-78</f>
        <v>600</v>
      </c>
      <c r="M18" s="362">
        <f>E10</f>
        <v>3</v>
      </c>
      <c r="N18" s="474"/>
      <c r="O18" s="429"/>
      <c r="P18" s="51"/>
      <c r="Q18" s="51"/>
      <c r="R18" s="430"/>
      <c r="S18" s="259"/>
      <c r="T18" s="328" t="str">
        <f t="shared" si="0"/>
        <v>рамка нижняя Б</v>
      </c>
      <c r="U18" s="423"/>
      <c r="V18" s="423"/>
      <c r="W18" s="423"/>
      <c r="X18" s="423"/>
      <c r="Y18" s="423"/>
      <c r="Z18" s="423"/>
      <c r="AA18" s="423"/>
      <c r="AB18" s="423"/>
      <c r="AC18" s="423"/>
      <c r="AD18" s="423"/>
      <c r="AE18" s="423"/>
      <c r="AF18" s="423"/>
      <c r="AG18" s="486"/>
      <c r="AH18" s="431"/>
      <c r="AI18" s="404">
        <v>0.379</v>
      </c>
      <c r="AJ18" s="3">
        <f t="shared" si="5"/>
        <v>0.68220000000000003</v>
      </c>
      <c r="AK18" s="144"/>
      <c r="AN18" s="144"/>
      <c r="AQ18" s="144"/>
      <c r="AT18" s="144"/>
      <c r="AU18" s="144"/>
      <c r="AW18" s="189">
        <f>L18*M18-INT($AN$5/L18)*L18*AX18</f>
        <v>1800</v>
      </c>
      <c r="AX18" s="144">
        <f>INT(M18/INT($AN$5/L18))</f>
        <v>0</v>
      </c>
      <c r="BB18" s="1" t="s">
        <v>477</v>
      </c>
      <c r="BC18" s="1" t="s">
        <v>476</v>
      </c>
      <c r="BD18" s="192" t="s">
        <v>277</v>
      </c>
      <c r="BE18" s="193" t="s">
        <v>278</v>
      </c>
      <c r="BG18" s="1" t="s">
        <v>181</v>
      </c>
    </row>
    <row r="19" spans="2:68" ht="25.05" customHeight="1" thickBot="1" x14ac:dyDescent="0.35">
      <c r="B19" s="59"/>
      <c r="C19" s="60"/>
      <c r="D19" s="60"/>
      <c r="E19" s="60"/>
      <c r="F19" s="60"/>
      <c r="G19" s="60"/>
      <c r="H19" s="393" t="s">
        <v>481</v>
      </c>
      <c r="J19" s="370" t="str">
        <f>E7&amp;" А"</f>
        <v>рамка средняя Стандарт А</v>
      </c>
      <c r="K19" s="242" t="str">
        <f>IF(J19=BO6,BP6,BP7)</f>
        <v>FA0716.VP500</v>
      </c>
      <c r="L19" s="364">
        <f>IF(AND(E7=BO7,E6&gt;0),K5-78,IF(AND(E7=BO6,E6&gt;0),K5-76,0))</f>
        <v>0</v>
      </c>
      <c r="M19" s="362">
        <f>M17*E6</f>
        <v>0</v>
      </c>
      <c r="N19" s="474">
        <f>L19*M19+L20*M20</f>
        <v>0</v>
      </c>
      <c r="O19" s="429">
        <f>IF(E7=BO7,AX19+AX20+IF(AW19+AW20&gt;AN5,2,IF(AW19+AW20=0,0,1)),BA19+BA20+IF(AZ19+AZ20&gt;AN7,2,IF(AZ19+AZ20=0,0,1)))</f>
        <v>0</v>
      </c>
      <c r="P19" s="253"/>
      <c r="Q19" s="253"/>
      <c r="R19" s="430">
        <f>IF(E7=BO6,BN6,BN7)</f>
        <v>0</v>
      </c>
      <c r="T19" s="328" t="str">
        <f t="shared" si="0"/>
        <v>рамка средняя Стандарт А</v>
      </c>
      <c r="U19" s="423">
        <f>IF($BB$19&lt;&gt;1,AK19,0)</f>
        <v>0</v>
      </c>
      <c r="V19" s="487"/>
      <c r="W19" s="487">
        <f>IF($BC$19&lt;&gt;1,AM19,0)</f>
        <v>0</v>
      </c>
      <c r="X19" s="423">
        <f>IF($BB$19&lt;&gt;1,AN19,0)</f>
        <v>0</v>
      </c>
      <c r="Y19" s="487"/>
      <c r="Z19" s="487">
        <f>IF($BC$19&lt;&gt;1,AP19,0)</f>
        <v>0</v>
      </c>
      <c r="AA19" s="423">
        <f>IF($BB$19&lt;&gt;1,AQ19,0)</f>
        <v>0</v>
      </c>
      <c r="AB19" s="487">
        <f>IF($BC$19&lt;&gt;1,AR19,0)</f>
        <v>0</v>
      </c>
      <c r="AC19" s="487"/>
      <c r="AD19" s="423">
        <f>IF($BB$19&lt;&gt;1,AT19,0)</f>
        <v>0</v>
      </c>
      <c r="AE19" s="487">
        <f t="shared" ref="AE19:AF19" si="9">AU19</f>
        <v>0</v>
      </c>
      <c r="AF19" s="487">
        <f t="shared" si="9"/>
        <v>0</v>
      </c>
      <c r="AG19" s="486">
        <f>U19*$U$8+W19*W8+X19*$X$8+Y19*Y8+Z19*Z8+AA19*$AA$8+AB19*AB8+AD19*$AD$8+AE19*$AE$8+AF19*AF8</f>
        <v>0</v>
      </c>
      <c r="AH19" s="431">
        <f>IF(E7=BO6,BE19,BD19)</f>
        <v>0</v>
      </c>
      <c r="AI19" s="404">
        <v>0.58499999999999996</v>
      </c>
      <c r="AJ19" s="3">
        <f t="shared" si="5"/>
        <v>0</v>
      </c>
      <c r="AK19" s="194">
        <f>IF(AND((AW19+AW20)&gt;0,(AW19+AW20)&lt;=1000),1,0)</f>
        <v>0</v>
      </c>
      <c r="AL19" s="146"/>
      <c r="AM19" s="195">
        <f>IF(AND((AZ19+AZ20)&gt;0,(AZ19+AZ20)&lt;=1800),1,0)</f>
        <v>0</v>
      </c>
      <c r="AN19" s="194">
        <f>IF(AND((AW19+AW20)&gt;1000,(AW19+AW20)&lt;=2000),1,0)</f>
        <v>0</v>
      </c>
      <c r="AO19" s="146"/>
      <c r="AP19" s="195">
        <f>IF(AND((AZ19+AZ20)&gt;1800,(AZ19+AZ20)&lt;=2700),1,0)</f>
        <v>0</v>
      </c>
      <c r="AQ19" s="194">
        <f>IF(AND((AW19+AW20)&gt;2000,(AW19+AW20)&lt;=3000),1,0)+IF(AND(AW19&gt;2000,AW19&lt;=3000),1,0)+IF(AND(AW20&gt;2000,AW20&lt;=3000),1,0)</f>
        <v>0</v>
      </c>
      <c r="AR19" s="195">
        <f>IF(AND((AZ19+AZ20)&gt;2700,(AZ19+AZ20)&lt;=3600),1,0)+IF(AND(AZ19&gt;2700,AZ19&lt;=3600),1,0)+IF(AND(AZ20&gt;2700,AZ20&lt;=3600),1,0)</f>
        <v>0</v>
      </c>
      <c r="AS19" s="146"/>
      <c r="AT19" s="194">
        <f>IF(AND(AW19&gt;3000,AW19&lt;=4000),1,0)+IF(AND(AW20&gt;3000,AW20&lt;=4000),1,0)+IF(AND((AW19+AW20)&gt;3000,(AW19+AW20)&lt;=4000),1,0)</f>
        <v>0</v>
      </c>
      <c r="AU19" s="194">
        <f>IF(BB19=1,0,IF(AND(AW19&gt;4000,AW19&lt;=5000),1,0)+IF(AND(AW20&gt;4000,AW20&lt;=5000),1,0))+BB19+AX19+AX20</f>
        <v>0</v>
      </c>
      <c r="AV19" s="195">
        <f>IF(BC19=1,0,IF(AND(AZ19&gt;3600,AZ19&lt;=AN7),1,0)+IF(AND(AZ20&gt;3600,AZ20&lt;=AN7),1,0))+BC19+BA19+BA20</f>
        <v>0</v>
      </c>
      <c r="AW19" s="189">
        <f>IF($E$6&lt;&gt;0,L19*M19-INT($AN$5/L19)*L19*AX19,0)</f>
        <v>0</v>
      </c>
      <c r="AX19" s="144">
        <f>IF(AND($E$7=$BO$7,$E$6&lt;&gt;0),INT(M19/INT($AN$5/L19)),0)</f>
        <v>0</v>
      </c>
      <c r="AY19" s="144"/>
      <c r="AZ19" s="144">
        <f>IF($E$6&lt;&gt;0,L19*M19-INT($AN$7/L19)*L19*BA19,0)</f>
        <v>0</v>
      </c>
      <c r="BA19" s="192">
        <f>IF(AND($E$7=$BO$6,$E$6&lt;&gt;0),INT(M19/INT($AN$7/L19)),0)</f>
        <v>0</v>
      </c>
      <c r="BB19" s="192">
        <f>IF(AND((AW19+AW20)&gt;4000,(AW19+AW20)&lt;=5000),1,0)</f>
        <v>0</v>
      </c>
      <c r="BC19" s="192">
        <f>IF(AND((AZ19+AZ20)&gt;3600,(AZ19+AZ20)&lt;=5400),1,0)</f>
        <v>0</v>
      </c>
      <c r="BD19" s="147">
        <f>IF($E$8=$BG$50,(U19*0.2+X19*0.4+AA19*0.6+AD19*0.8+AE19)*Цены!$I$45,
IF($E$8=$BG$51,(U19*0.2+X19*0.4+AA19*0.6+AD19*0.8+AE19)*Цены!$I$46,
IF($E$8=$BG$52,(U19*0.2+X19*0.4+AA19*0.6+AD19*0.8+AE19)*Цены!$I$47,
IF($E$8=$BG$53,(U19*0.2+X19*0.4+AA19*0.6+AD19*0.8+AE19)*Цены!$I$48,
(U19*0.2+X19*0.4+AA19*0.6+AD19*0.8+AE19)*Цены!$I$51))))</f>
        <v>0</v>
      </c>
      <c r="BE19" s="147">
        <f>IF($E$8=$BG$50,(W19*0.34+Z19*0.5+AB19*0.67+AF19)*Цены!$I$69,
IF($E$8=$BG$51,(W19*0.34+Z19*0.5+AB19*0.67+AF19)*Цены!$I$70,
IF($E$8=$BG$52,(W19*0.34+Z19*0.5+AB19*0.67+AF19)*Цены!$I$71,
IF($E$8=$BG$53,(W19*0.34+Z19*0.5+AB19*0.67+AF19)*Цены!$I$71,
(W19*0.34+Z19*0.5+AB19*0.67+AF19)*Цены!$I$75))))</f>
        <v>0</v>
      </c>
    </row>
    <row r="20" spans="2:68" ht="25.05" customHeight="1" thickBot="1" x14ac:dyDescent="0.35">
      <c r="B20" s="208" t="s">
        <v>113</v>
      </c>
      <c r="C20" s="63">
        <f>E6+1</f>
        <v>1</v>
      </c>
      <c r="D20" s="64" t="str">
        <f>IF(C20&gt;5,BG33,BG34)</f>
        <v xml:space="preserve"> </v>
      </c>
      <c r="E20" s="358"/>
      <c r="F20" s="358"/>
      <c r="G20" s="358"/>
      <c r="H20" s="65"/>
      <c r="J20" s="370" t="str">
        <f>E7&amp;" Б"</f>
        <v>рамка средняя Стандарт Б</v>
      </c>
      <c r="K20" s="351" t="str">
        <f>IF(J20=BO6,BP6,BP7)</f>
        <v>FA0716.VP500</v>
      </c>
      <c r="L20" s="364">
        <f>IF(AND(E7=BO7,E6&gt;0),M5-78,IF(AND(E7=BO6,E6&gt;0),M5-76,0))</f>
        <v>0</v>
      </c>
      <c r="M20" s="362">
        <f>M18*E6</f>
        <v>0</v>
      </c>
      <c r="N20" s="474"/>
      <c r="O20" s="429"/>
      <c r="P20" s="51"/>
      <c r="Q20" s="51"/>
      <c r="R20" s="479"/>
      <c r="S20" s="260"/>
      <c r="T20" s="328" t="str">
        <f t="shared" si="0"/>
        <v>рамка средняя Стандарт Б</v>
      </c>
      <c r="U20" s="423"/>
      <c r="V20" s="488"/>
      <c r="W20" s="488"/>
      <c r="X20" s="423"/>
      <c r="Y20" s="488"/>
      <c r="Z20" s="488"/>
      <c r="AA20" s="423"/>
      <c r="AB20" s="488"/>
      <c r="AC20" s="488"/>
      <c r="AD20" s="423"/>
      <c r="AE20" s="488"/>
      <c r="AF20" s="488"/>
      <c r="AG20" s="486"/>
      <c r="AH20" s="489"/>
      <c r="AI20" s="404">
        <v>0.58499999999999996</v>
      </c>
      <c r="AJ20" s="3">
        <f t="shared" si="5"/>
        <v>0</v>
      </c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189">
        <f>IF($E$6&lt;&gt;0,L20*M20-INT($AN$5/L20)*L20*AX20,0)</f>
        <v>0</v>
      </c>
      <c r="AX20" s="144">
        <f>IF(AND($E$7=$BO$7,$E$6&lt;&gt;0),INT(M20/INT($AN$5/L20)),0)</f>
        <v>0</v>
      </c>
      <c r="AY20" s="4"/>
      <c r="AZ20" s="144">
        <f>IF($E$6&lt;&gt;0,L20*M20-INT($AN$7/L20)*L20*BA20,0)</f>
        <v>0</v>
      </c>
      <c r="BA20" s="192">
        <f>IF(AND($E$7=$BO$6,$E$6&lt;&gt;0),INT(M20/INT($AN$7/L20)),0)</f>
        <v>0</v>
      </c>
      <c r="BB20" s="4"/>
      <c r="BC20" s="4"/>
      <c r="BD20" s="4"/>
      <c r="BE20" s="4"/>
      <c r="BG20" s="1" t="s">
        <v>91</v>
      </c>
    </row>
    <row r="21" spans="2:68" ht="25.05" customHeight="1" thickBot="1" x14ac:dyDescent="0.4">
      <c r="B21" s="67"/>
      <c r="C21" s="68"/>
      <c r="D21" s="68"/>
      <c r="E21" s="68"/>
      <c r="F21" s="68"/>
      <c r="G21" s="68"/>
      <c r="H21" s="69"/>
      <c r="J21" s="268"/>
      <c r="K21" s="269"/>
      <c r="L21" s="376"/>
      <c r="M21" s="376"/>
      <c r="N21" s="269"/>
      <c r="O21" s="270"/>
      <c r="P21" s="249"/>
      <c r="Q21" s="271"/>
      <c r="R21" s="139">
        <f>SUM(R9:R20)</f>
        <v>50955.6</v>
      </c>
      <c r="S21" s="5"/>
      <c r="T21" s="335"/>
      <c r="U21" s="477" t="s">
        <v>109</v>
      </c>
      <c r="V21" s="477"/>
      <c r="W21" s="477"/>
      <c r="X21" s="477"/>
      <c r="Y21" s="477"/>
      <c r="Z21" s="477"/>
      <c r="AA21" s="477"/>
      <c r="AB21" s="477"/>
      <c r="AC21" s="477"/>
      <c r="AD21" s="477"/>
      <c r="AE21" s="477"/>
      <c r="AF21" s="477"/>
      <c r="AG21" s="478"/>
      <c r="AH21" s="139">
        <f>SUM(AH9:AH20)</f>
        <v>49989.47</v>
      </c>
      <c r="AI21" s="405">
        <v>0.33600000000000002</v>
      </c>
      <c r="AJ21" s="3">
        <f>AI21*L19*M19/1000</f>
        <v>0</v>
      </c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BG21" s="1" t="s">
        <v>92</v>
      </c>
      <c r="BP21" s="1" t="s">
        <v>449</v>
      </c>
    </row>
    <row r="22" spans="2:68" ht="25.05" customHeight="1" thickBot="1" x14ac:dyDescent="0.4">
      <c r="B22" s="67"/>
      <c r="C22" s="68"/>
      <c r="D22" s="68"/>
      <c r="E22" s="68"/>
      <c r="F22" s="68"/>
      <c r="G22" s="68"/>
      <c r="H22" s="69"/>
      <c r="J22" s="12"/>
      <c r="K22" s="6"/>
      <c r="L22" s="354"/>
      <c r="M22" s="354"/>
      <c r="N22" s="6"/>
      <c r="O22" s="13"/>
      <c r="P22" s="5"/>
      <c r="Q22" s="5"/>
      <c r="R22" s="6"/>
      <c r="S22" s="5"/>
      <c r="T22" s="5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407">
        <v>0.33600000000000002</v>
      </c>
      <c r="AJ22" s="3">
        <f>AI22*L20*M20/1000</f>
        <v>0</v>
      </c>
      <c r="BP22" s="1" t="s">
        <v>454</v>
      </c>
    </row>
    <row r="23" spans="2:68" ht="25.05" customHeight="1" thickBot="1" x14ac:dyDescent="0.35">
      <c r="B23" s="70" t="s">
        <v>114</v>
      </c>
      <c r="C23" s="357" t="s">
        <v>115</v>
      </c>
      <c r="D23" s="71" t="s">
        <v>84</v>
      </c>
      <c r="E23" s="357" t="s">
        <v>116</v>
      </c>
      <c r="F23" s="357" t="s">
        <v>117</v>
      </c>
      <c r="G23" s="357" t="s">
        <v>133</v>
      </c>
      <c r="H23" s="72" t="s">
        <v>134</v>
      </c>
      <c r="J23" s="359" t="s">
        <v>187</v>
      </c>
      <c r="K23" s="345"/>
      <c r="L23" s="287"/>
      <c r="M23" s="354"/>
      <c r="N23" s="6"/>
      <c r="O23" s="13"/>
      <c r="P23" s="5"/>
      <c r="Q23" s="5"/>
      <c r="R23" s="6"/>
      <c r="T23" s="5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386" t="s">
        <v>478</v>
      </c>
      <c r="AJ23" s="387">
        <f>IF(E7=BO6,AJ10/2+(AJ9/O9*E9+AJ15+AJ17+AJ21)/E9,AJ10/2+(AJ9/O9*E9+AJ15+AJ17+AJ19)/E9)</f>
        <v>4.9542599999999997</v>
      </c>
      <c r="AK23" s="3"/>
      <c r="AL23" s="3"/>
      <c r="AM23" s="3"/>
      <c r="AN23" s="3"/>
      <c r="AO23" s="3"/>
      <c r="AP23" s="245" t="s">
        <v>455</v>
      </c>
      <c r="AQ23" s="3"/>
      <c r="AR23" s="3"/>
      <c r="AS23" s="3"/>
      <c r="AT23" s="3"/>
      <c r="AU23" s="3"/>
      <c r="AV23" s="3"/>
      <c r="AW23" s="3"/>
      <c r="BG23" s="1" t="s">
        <v>104</v>
      </c>
      <c r="BP23" s="1" t="s">
        <v>451</v>
      </c>
    </row>
    <row r="24" spans="2:68" ht="25.05" customHeight="1" thickBot="1" x14ac:dyDescent="0.35">
      <c r="B24" s="73" t="s">
        <v>118</v>
      </c>
      <c r="C24" s="15" t="s">
        <v>13</v>
      </c>
      <c r="D24" s="96">
        <v>0</v>
      </c>
      <c r="E24" s="16">
        <f>K4-IF(E28=0,0,IF(C28=BG27,E28,IF(C28=BG28,E28+2,E28+3)))-IF(E27=0,0,IF(C27=BG27,E27,IF(C27=BG28,E27+2,E27+3)))-IF(E26=0,0,IF(C26=BG27,E26,IF(C26=BG28,E26+2,E26+3)))-IF(E25=0,0,IF(C25=BG27,E25,IF(C25=BG28,E25+2,E25+3)))-44-IF(C24=BG28,2,IF(C24=BG29,3,0))-E6*BQ6</f>
        <v>2493</v>
      </c>
      <c r="F24" s="74">
        <f>IF(C24=$BG$29,$K$5-63,IF(C24=$BG$28,$K$5-62,$K$5-60))</f>
        <v>615</v>
      </c>
      <c r="G24" s="75">
        <f>$E$9</f>
        <v>3</v>
      </c>
      <c r="H24" s="76">
        <f>E24*F24*D24*G24/1000000</f>
        <v>0</v>
      </c>
      <c r="J24" s="480" t="s">
        <v>0</v>
      </c>
      <c r="K24" s="481"/>
      <c r="L24" s="481"/>
      <c r="M24" s="482"/>
      <c r="N24" s="162" t="s">
        <v>1</v>
      </c>
      <c r="O24" s="243" t="s">
        <v>9</v>
      </c>
      <c r="P24" s="143"/>
      <c r="Q24" s="143"/>
      <c r="R24" s="265" t="s">
        <v>25</v>
      </c>
      <c r="T24" s="336"/>
      <c r="U24" s="426" t="s">
        <v>106</v>
      </c>
      <c r="V24" s="426"/>
      <c r="W24" s="426"/>
      <c r="X24" s="426"/>
      <c r="Y24" s="426"/>
      <c r="Z24" s="426"/>
      <c r="AA24" s="426"/>
      <c r="AB24" s="426"/>
      <c r="AC24" s="426"/>
      <c r="AD24" s="426"/>
      <c r="AE24" s="426"/>
      <c r="AF24" s="426"/>
      <c r="AG24" s="426"/>
      <c r="AH24" s="427"/>
      <c r="AI24" s="282" t="s">
        <v>479</v>
      </c>
      <c r="AJ24" s="141">
        <f>IF(E7=BO6,AJ10/2+(AJ9/O9*E10+AJ16+AJ18+AJ22)/E10,AJ10/2+(AJ9/O9*E10+AJ16+AJ18+AJ20)/E10)</f>
        <v>4.9542599999999997</v>
      </c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BG24" s="1" t="s">
        <v>105</v>
      </c>
      <c r="BM24" s="309">
        <f>IF(E24&lt;&gt;0,1,0)</f>
        <v>1</v>
      </c>
      <c r="BP24" s="1" t="s">
        <v>452</v>
      </c>
    </row>
    <row r="25" spans="2:68" ht="25.05" customHeight="1" x14ac:dyDescent="0.3">
      <c r="B25" s="73" t="s">
        <v>119</v>
      </c>
      <c r="C25" s="15" t="s">
        <v>13</v>
      </c>
      <c r="D25" s="96">
        <v>0</v>
      </c>
      <c r="E25" s="17">
        <v>0</v>
      </c>
      <c r="F25" s="74">
        <f>IF(C25=$BG$29,$K$5-63,IF(C25=$BG$28,$K$5-62,$K$5-60))</f>
        <v>615</v>
      </c>
      <c r="G25" s="75">
        <f>IF(E25&lt;&gt;0,$E$9,0)</f>
        <v>0</v>
      </c>
      <c r="H25" s="76">
        <f t="shared" ref="H25:H28" si="10">E25*F25*D25*G25/1000000</f>
        <v>0</v>
      </c>
      <c r="J25" s="483" t="s">
        <v>166</v>
      </c>
      <c r="K25" s="484"/>
      <c r="L25" s="484"/>
      <c r="M25" s="485"/>
      <c r="N25" s="210" t="s">
        <v>230</v>
      </c>
      <c r="O25" s="234">
        <f>E9+E10</f>
        <v>6</v>
      </c>
      <c r="P25" s="252"/>
      <c r="Q25" s="252"/>
      <c r="R25" s="266">
        <f>O25*Цены!I128</f>
        <v>14214.060000000001</v>
      </c>
      <c r="T25" s="333"/>
      <c r="U25" s="97">
        <v>1000</v>
      </c>
      <c r="V25" s="97">
        <v>1250</v>
      </c>
      <c r="W25" s="97">
        <v>1800</v>
      </c>
      <c r="X25" s="97">
        <v>2000</v>
      </c>
      <c r="Y25" s="97">
        <v>2500</v>
      </c>
      <c r="Z25" s="97">
        <v>2700</v>
      </c>
      <c r="AA25" s="97">
        <v>3000</v>
      </c>
      <c r="AB25" s="97">
        <v>3600</v>
      </c>
      <c r="AC25" s="97">
        <v>3750</v>
      </c>
      <c r="AD25" s="97">
        <v>4000</v>
      </c>
      <c r="AE25" s="97">
        <v>5000</v>
      </c>
      <c r="AF25" s="97">
        <v>5400</v>
      </c>
      <c r="AG25" s="209" t="s">
        <v>107</v>
      </c>
      <c r="AH25" s="53" t="s">
        <v>25</v>
      </c>
      <c r="AK25" s="97">
        <v>1000</v>
      </c>
      <c r="AL25" s="97">
        <v>1250</v>
      </c>
      <c r="AM25" s="97">
        <v>1800</v>
      </c>
      <c r="AN25" s="97">
        <v>2000</v>
      </c>
      <c r="AO25" s="97">
        <v>2500</v>
      </c>
      <c r="AP25" s="97">
        <v>2700</v>
      </c>
      <c r="AQ25" s="97">
        <v>3000</v>
      </c>
      <c r="AR25" s="97">
        <v>3600</v>
      </c>
      <c r="AS25" s="97">
        <v>3750</v>
      </c>
      <c r="AT25" s="97">
        <v>4000</v>
      </c>
      <c r="AU25" s="97">
        <v>5000</v>
      </c>
      <c r="AV25" s="145">
        <v>5400</v>
      </c>
      <c r="AW25" s="191"/>
      <c r="AX25" s="190"/>
      <c r="AY25" s="190"/>
      <c r="AZ25" s="190"/>
      <c r="BA25" s="190"/>
      <c r="BB25" s="190"/>
      <c r="BC25" s="190"/>
      <c r="BM25" s="309">
        <f>IF(E25&lt;&gt;0,1,0)</f>
        <v>0</v>
      </c>
      <c r="BP25" s="1" t="s">
        <v>453</v>
      </c>
    </row>
    <row r="26" spans="2:68" ht="25.05" customHeight="1" x14ac:dyDescent="0.3">
      <c r="B26" s="73" t="s">
        <v>120</v>
      </c>
      <c r="C26" s="15" t="s">
        <v>13</v>
      </c>
      <c r="D26" s="96">
        <v>0</v>
      </c>
      <c r="E26" s="17">
        <v>0</v>
      </c>
      <c r="F26" s="74">
        <f>IF(C26=$BG$29,$K$5-63,IF(C26=$BG$28,$K$5-62,$K$5-60))</f>
        <v>615</v>
      </c>
      <c r="G26" s="75">
        <f>IF(E26&lt;&gt;0,$E$9,0)</f>
        <v>0</v>
      </c>
      <c r="H26" s="76">
        <f t="shared" si="10"/>
        <v>0</v>
      </c>
      <c r="J26" s="421" t="s">
        <v>73</v>
      </c>
      <c r="K26" s="422"/>
      <c r="L26" s="422"/>
      <c r="M26" s="422"/>
      <c r="N26" s="210" t="s">
        <v>231</v>
      </c>
      <c r="O26" s="234">
        <f>6</f>
        <v>6</v>
      </c>
      <c r="P26" s="252"/>
      <c r="Q26" s="252"/>
      <c r="R26" s="266">
        <f>O26*Цены!I130</f>
        <v>817.56</v>
      </c>
      <c r="T26" s="331" t="str">
        <f t="shared" ref="T26:T37" si="11">J9</f>
        <v>вертикальный профиль</v>
      </c>
      <c r="U26" s="348"/>
      <c r="V26" s="348"/>
      <c r="W26" s="348"/>
      <c r="X26" s="348"/>
      <c r="Y26" s="348"/>
      <c r="Z26" s="348"/>
      <c r="AA26" s="348"/>
      <c r="AB26" s="348"/>
      <c r="AC26" s="348"/>
      <c r="AD26" s="348"/>
      <c r="AE26" s="348"/>
      <c r="AF26" s="348">
        <f>AV26</f>
        <v>6</v>
      </c>
      <c r="AG26" s="388"/>
      <c r="AH26" s="246">
        <f>R9</f>
        <v>26321.879999999997</v>
      </c>
      <c r="AJ26" s="3"/>
      <c r="AK26" s="144"/>
      <c r="AL26" s="144"/>
      <c r="AM26" s="144"/>
      <c r="AN26" s="144"/>
      <c r="AO26" s="144"/>
      <c r="AP26" s="144"/>
      <c r="AQ26" s="144"/>
      <c r="AR26" s="144"/>
      <c r="AS26" s="144"/>
      <c r="AT26" s="144"/>
      <c r="AU26" s="144"/>
      <c r="AV26" s="325">
        <f>O9</f>
        <v>6</v>
      </c>
      <c r="AW26" s="144"/>
      <c r="AX26" s="192"/>
      <c r="AY26" s="192"/>
      <c r="AZ26" s="192"/>
      <c r="BA26" s="192"/>
      <c r="BB26" s="192"/>
      <c r="BC26" s="192"/>
      <c r="BM26" s="309">
        <f>IF(E26&lt;&gt;0,1,0)</f>
        <v>0</v>
      </c>
      <c r="BP26" s="1" t="s">
        <v>450</v>
      </c>
    </row>
    <row r="27" spans="2:68" ht="25.05" customHeight="1" x14ac:dyDescent="0.3">
      <c r="B27" s="73" t="s">
        <v>121</v>
      </c>
      <c r="C27" s="15" t="s">
        <v>13</v>
      </c>
      <c r="D27" s="96">
        <v>0</v>
      </c>
      <c r="E27" s="17">
        <v>0</v>
      </c>
      <c r="F27" s="74">
        <f>IF(C27=$BG$29,$K$5-63,IF(C27=$BG$28,$K$5-62,$K$5-60))</f>
        <v>615</v>
      </c>
      <c r="G27" s="75">
        <f>IF(E27&lt;&gt;0,$E$9,0)</f>
        <v>0</v>
      </c>
      <c r="H27" s="76">
        <f t="shared" si="10"/>
        <v>0</v>
      </c>
      <c r="J27" s="436" t="s">
        <v>79</v>
      </c>
      <c r="K27" s="437"/>
      <c r="L27" s="437"/>
      <c r="M27" s="437"/>
      <c r="N27" s="211" t="s">
        <v>232</v>
      </c>
      <c r="O27" s="234">
        <f>IF(AND(O33&gt;0,OR(E11=BG23,E12=BG23)),0,IF(E12=BG23,1,2))</f>
        <v>2</v>
      </c>
      <c r="P27" s="252"/>
      <c r="Q27" s="252"/>
      <c r="R27" s="266">
        <f>O27*Цены!I136</f>
        <v>852.82</v>
      </c>
      <c r="T27" s="331" t="str">
        <f t="shared" si="11"/>
        <v>угловой профиль</v>
      </c>
      <c r="U27" s="190"/>
      <c r="V27" s="190"/>
      <c r="W27" s="190"/>
      <c r="X27" s="190"/>
      <c r="Y27" s="190"/>
      <c r="Z27" s="190"/>
      <c r="AA27" s="190"/>
      <c r="AB27" s="190"/>
      <c r="AC27" s="190"/>
      <c r="AD27" s="190"/>
      <c r="AE27" s="190"/>
      <c r="AF27" s="348">
        <f>AV27</f>
        <v>1</v>
      </c>
      <c r="AG27" s="190"/>
      <c r="AH27" s="246">
        <f>R10</f>
        <v>2587.35</v>
      </c>
      <c r="AV27" s="325">
        <f>O10</f>
        <v>1</v>
      </c>
      <c r="BG27" s="66" t="s">
        <v>11</v>
      </c>
      <c r="BM27" s="309">
        <f>IF(E27&lt;&gt;0,1,0)</f>
        <v>0</v>
      </c>
    </row>
    <row r="28" spans="2:68" ht="25.05" customHeight="1" thickBot="1" x14ac:dyDescent="0.35">
      <c r="B28" s="81" t="s">
        <v>122</v>
      </c>
      <c r="C28" s="15" t="s">
        <v>13</v>
      </c>
      <c r="D28" s="96">
        <v>0</v>
      </c>
      <c r="E28" s="17">
        <v>0</v>
      </c>
      <c r="F28" s="74">
        <f>IF(C28=$BG$29,$K$5-63,IF(C28=$BG$28,$K$5-62,$K$5-60))</f>
        <v>615</v>
      </c>
      <c r="G28" s="75">
        <f>IF(E28&lt;&gt;0,$E$9,0)</f>
        <v>0</v>
      </c>
      <c r="H28" s="76">
        <f t="shared" si="10"/>
        <v>0</v>
      </c>
      <c r="J28" s="419" t="s">
        <v>80</v>
      </c>
      <c r="K28" s="420"/>
      <c r="L28" s="420"/>
      <c r="M28" s="420"/>
      <c r="N28" s="143" t="s">
        <v>242</v>
      </c>
      <c r="O28" s="372">
        <f>O33+2</f>
        <v>2</v>
      </c>
      <c r="P28" s="253"/>
      <c r="Q28" s="253"/>
      <c r="R28" s="266">
        <f>O28*Цены!I137</f>
        <v>192.52</v>
      </c>
      <c r="S28" s="247"/>
      <c r="T28" s="331" t="str">
        <f t="shared" si="11"/>
        <v>направляющая верхняя А</v>
      </c>
      <c r="U28" s="423"/>
      <c r="V28" s="423"/>
      <c r="W28" s="423"/>
      <c r="X28" s="423"/>
      <c r="Y28" s="423">
        <f>AO28</f>
        <v>0</v>
      </c>
      <c r="Z28" s="423"/>
      <c r="AA28" s="423"/>
      <c r="AB28" s="423"/>
      <c r="AC28" s="423"/>
      <c r="AD28" s="423"/>
      <c r="AE28" s="423">
        <f>AU28</f>
        <v>3</v>
      </c>
      <c r="AF28" s="423"/>
      <c r="AG28" s="486">
        <f>Y28*Y25+AE28*AE25</f>
        <v>15000</v>
      </c>
      <c r="AH28" s="431">
        <f>IF(OR($E$8=$BG$51,$E$8=$BG$57,$E$8=$BG$54),Y28*Цены!$I$25*0.5+AE28*Цены!$I$25,
Y28*Цены!$I$24*0.5+AE28*Цены!$I$24)</f>
        <v>14146.26</v>
      </c>
      <c r="AK28" s="146"/>
      <c r="AL28" s="146"/>
      <c r="AM28" s="146"/>
      <c r="AN28" s="146"/>
      <c r="AO28" s="144">
        <f>IF(AND((E20+E21)&gt;AN22,AZ28=1),1,0)</f>
        <v>0</v>
      </c>
      <c r="AP28" s="146"/>
      <c r="AQ28" s="146"/>
      <c r="AR28" s="146"/>
      <c r="AS28" s="146"/>
      <c r="AT28" s="146"/>
      <c r="AU28" s="144">
        <f>IF(E4+E5&lt;=5000,BB28,IF(AND(AW28&gt;2500,AW28&lt;=5000),AX28+1,AX28)+IF(AND(AW29&gt;2500,AW29&lt;=5000),AX29+1,AX29)+IF(AZ28=2,1,0))</f>
        <v>3</v>
      </c>
      <c r="AV28" s="146"/>
      <c r="AW28" s="189">
        <f t="shared" ref="AW28:AX37" si="12">AW11</f>
        <v>1992</v>
      </c>
      <c r="AX28" s="189">
        <f t="shared" si="12"/>
        <v>1</v>
      </c>
      <c r="AY28" s="189"/>
      <c r="AZ28" s="189">
        <f>AZ11</f>
        <v>2</v>
      </c>
      <c r="BA28" s="189"/>
      <c r="BB28" s="189">
        <f>BB11</f>
        <v>3</v>
      </c>
      <c r="BC28" s="144"/>
      <c r="BG28" s="66" t="s">
        <v>12</v>
      </c>
      <c r="BM28" s="309">
        <f>IF(E28&lt;&gt;0,1,0)</f>
        <v>0</v>
      </c>
    </row>
    <row r="29" spans="2:68" ht="25.05" customHeight="1" thickBot="1" x14ac:dyDescent="0.35">
      <c r="B29" s="67"/>
      <c r="C29" s="68"/>
      <c r="D29" s="68"/>
      <c r="E29" s="432" t="s">
        <v>85</v>
      </c>
      <c r="F29" s="433"/>
      <c r="G29" s="434"/>
      <c r="H29" s="82">
        <f>SUM(H24:H28)</f>
        <v>0</v>
      </c>
      <c r="J29" s="421" t="s">
        <v>23</v>
      </c>
      <c r="K29" s="422"/>
      <c r="L29" s="422"/>
      <c r="M29" s="422"/>
      <c r="N29" s="210" t="s">
        <v>234</v>
      </c>
      <c r="O29" s="235">
        <f>IF(E12=BG23,2,0)</f>
        <v>0</v>
      </c>
      <c r="P29" s="254"/>
      <c r="Q29" s="254"/>
      <c r="R29" s="266">
        <f>O29*Цены!I107</f>
        <v>0</v>
      </c>
      <c r="S29" s="247"/>
      <c r="T29" s="331" t="str">
        <f t="shared" si="11"/>
        <v>направляющая верхняя Б</v>
      </c>
      <c r="U29" s="423"/>
      <c r="V29" s="423"/>
      <c r="W29" s="423"/>
      <c r="X29" s="423"/>
      <c r="Y29" s="423"/>
      <c r="Z29" s="423"/>
      <c r="AA29" s="423"/>
      <c r="AB29" s="423"/>
      <c r="AC29" s="423"/>
      <c r="AD29" s="423"/>
      <c r="AE29" s="423"/>
      <c r="AF29" s="423"/>
      <c r="AG29" s="486"/>
      <c r="AH29" s="431"/>
      <c r="AW29" s="189">
        <f t="shared" si="12"/>
        <v>1992</v>
      </c>
      <c r="AX29" s="189">
        <f t="shared" si="12"/>
        <v>1</v>
      </c>
      <c r="AY29" s="189"/>
      <c r="AZ29" s="189"/>
      <c r="BA29" s="189"/>
      <c r="BB29" s="189"/>
      <c r="BG29" s="66" t="s">
        <v>13</v>
      </c>
    </row>
    <row r="30" spans="2:68" ht="25.05" customHeight="1" thickBot="1" x14ac:dyDescent="0.35">
      <c r="B30" s="67"/>
      <c r="C30" s="83" t="str">
        <f>IF((SUM(BM24:BM28)/C20)&lt;&gt;1,BG43,BG44)</f>
        <v>Верно внесены высоты вставок</v>
      </c>
      <c r="D30" s="358">
        <f>IF(C30=BG44,1,0)</f>
        <v>1</v>
      </c>
      <c r="E30" s="358"/>
      <c r="F30" s="358"/>
      <c r="G30" s="358"/>
      <c r="H30" s="69"/>
      <c r="J30" s="417" t="s">
        <v>263</v>
      </c>
      <c r="K30" s="418"/>
      <c r="L30" s="418"/>
      <c r="M30" s="418"/>
      <c r="N30" s="210" t="s">
        <v>261</v>
      </c>
      <c r="O30" s="235">
        <f>IF(E11=BG23,E9-2+E10-2,0)</f>
        <v>0</v>
      </c>
      <c r="P30" s="254"/>
      <c r="Q30" s="254"/>
      <c r="R30" s="266">
        <f>O30*Цены!I108</f>
        <v>0</v>
      </c>
      <c r="S30" s="247"/>
      <c r="T30" s="331" t="str">
        <f t="shared" si="11"/>
        <v>накладка декоративная А</v>
      </c>
      <c r="U30" s="423"/>
      <c r="V30" s="423"/>
      <c r="W30" s="423"/>
      <c r="X30" s="423"/>
      <c r="Y30" s="423">
        <f>AO30</f>
        <v>0</v>
      </c>
      <c r="Z30" s="423"/>
      <c r="AA30" s="423"/>
      <c r="AB30" s="423"/>
      <c r="AC30" s="423"/>
      <c r="AD30" s="423"/>
      <c r="AE30" s="423">
        <f>AU30</f>
        <v>2</v>
      </c>
      <c r="AF30" s="423"/>
      <c r="AG30" s="486">
        <f>Y30*Y25+AE30*AE25</f>
        <v>10000</v>
      </c>
      <c r="AH30" s="431">
        <f>IF($E$8=$BG$50,(Y30*0.5+AE30)*Цены!$I$16,
IF($E$8=$BG$51,(Y30*0.5+AE30)*Цены!$I$17,
IF($E$8=$BG$52,(Y30*0.5+AE30)*Цены!$I$18,
IF($E$8=BG65,(Y30*0.5+AE30)*Цены!$I$19,
(Y30*0.5+AE30)*Цены!$I$22))))</f>
        <v>3069.46</v>
      </c>
      <c r="AI30" s="54"/>
      <c r="AJ30" s="54"/>
      <c r="AK30" s="146"/>
      <c r="AL30" s="146"/>
      <c r="AM30" s="146"/>
      <c r="AN30" s="146"/>
      <c r="AO30" s="144">
        <f t="shared" ref="AO30" si="13">IF(AZ30=1,1,0)</f>
        <v>0</v>
      </c>
      <c r="AP30" s="146"/>
      <c r="AQ30" s="146"/>
      <c r="AR30" s="146"/>
      <c r="AS30" s="146"/>
      <c r="AT30" s="146"/>
      <c r="AU30" s="144">
        <f>IF(E4+E5&lt;=5075,BB30,IF(AND(AW30&gt;2500,AW30&lt;=5000),AX30+1,AX30)+IF(AND(AW31&gt;2500,AW31&lt;=5000),AX31+1,AX31)+IF(AZ30=2,1,0))</f>
        <v>2</v>
      </c>
      <c r="AV30" s="146"/>
      <c r="AW30" s="189">
        <f t="shared" si="12"/>
        <v>0</v>
      </c>
      <c r="AX30" s="189">
        <f t="shared" si="12"/>
        <v>1</v>
      </c>
      <c r="AY30" s="189"/>
      <c r="AZ30" s="189">
        <f>AZ13</f>
        <v>0</v>
      </c>
      <c r="BA30" s="189"/>
      <c r="BB30" s="189">
        <f>BB13</f>
        <v>2</v>
      </c>
      <c r="BC30" s="192"/>
    </row>
    <row r="31" spans="2:68" ht="25.05" customHeight="1" thickBot="1" x14ac:dyDescent="0.35">
      <c r="B31" s="67"/>
      <c r="C31" s="68"/>
      <c r="D31" s="68"/>
      <c r="E31" s="68"/>
      <c r="F31" s="68"/>
      <c r="G31" s="349" t="s">
        <v>279</v>
      </c>
      <c r="H31" s="151">
        <f>ROUNDUP((AJ23+AJ46)*1.1,0)</f>
        <v>25</v>
      </c>
      <c r="J31" s="415" t="s">
        <v>264</v>
      </c>
      <c r="K31" s="416"/>
      <c r="L31" s="416"/>
      <c r="M31" s="416"/>
      <c r="N31" s="210" t="s">
        <v>265</v>
      </c>
      <c r="O31" s="236">
        <f>IF(O30&gt;0,IF(E9&gt;2,1,0)+IF(E10&gt;2,1,0),0)</f>
        <v>0</v>
      </c>
      <c r="P31" s="255"/>
      <c r="Q31" s="255"/>
      <c r="R31" s="266">
        <f>O31*Цены!I109</f>
        <v>0</v>
      </c>
      <c r="S31" s="247"/>
      <c r="T31" s="331" t="str">
        <f t="shared" si="11"/>
        <v>накладка декоративная Б</v>
      </c>
      <c r="U31" s="423"/>
      <c r="V31" s="423"/>
      <c r="W31" s="423"/>
      <c r="X31" s="423"/>
      <c r="Y31" s="423"/>
      <c r="Z31" s="423"/>
      <c r="AA31" s="423"/>
      <c r="AB31" s="423"/>
      <c r="AC31" s="423"/>
      <c r="AD31" s="423"/>
      <c r="AE31" s="423"/>
      <c r="AF31" s="423"/>
      <c r="AG31" s="486"/>
      <c r="AH31" s="431"/>
      <c r="AI31" s="54"/>
      <c r="AJ31" s="54"/>
      <c r="AK31" s="144"/>
      <c r="AL31" s="144"/>
      <c r="AM31" s="144"/>
      <c r="AN31" s="144"/>
      <c r="AO31" s="144"/>
      <c r="AP31" s="144"/>
      <c r="AQ31" s="144"/>
      <c r="AR31" s="144"/>
      <c r="AS31" s="144"/>
      <c r="AT31" s="144"/>
      <c r="AU31" s="144"/>
      <c r="AV31" s="144"/>
      <c r="AW31" s="189">
        <f t="shared" si="12"/>
        <v>0</v>
      </c>
      <c r="AX31" s="189">
        <f t="shared" si="12"/>
        <v>1</v>
      </c>
      <c r="AY31" s="189"/>
      <c r="AZ31" s="189"/>
      <c r="BA31" s="189"/>
      <c r="BB31" s="189"/>
      <c r="BC31" s="192"/>
    </row>
    <row r="32" spans="2:68" ht="25.05" customHeight="1" thickBot="1" x14ac:dyDescent="0.35">
      <c r="B32" s="390"/>
      <c r="C32" s="391" t="str">
        <f>IF(AND(SUM(BM24:BM28)/C20=1,E28=0,C20&lt;&gt;1),BG47,BG48)</f>
        <v xml:space="preserve"> </v>
      </c>
      <c r="D32" s="392"/>
      <c r="E32" s="391"/>
      <c r="F32" s="391"/>
      <c r="G32" s="154"/>
      <c r="H32" s="140"/>
      <c r="J32" s="417" t="s">
        <v>268</v>
      </c>
      <c r="K32" s="418"/>
      <c r="L32" s="418"/>
      <c r="M32" s="418"/>
      <c r="N32" s="210" t="s">
        <v>269</v>
      </c>
      <c r="O32" s="235">
        <f>IF(E9&gt;E10,E9-2,E10-2)</f>
        <v>1</v>
      </c>
      <c r="P32" s="254"/>
      <c r="Q32" s="254"/>
      <c r="R32" s="266">
        <f>O32*Цены!I96</f>
        <v>151.61000000000001</v>
      </c>
      <c r="S32" s="247"/>
      <c r="T32" s="331" t="str">
        <f t="shared" si="11"/>
        <v>рамка верхняя А</v>
      </c>
      <c r="U32" s="423"/>
      <c r="V32" s="423">
        <f>IF($AZ$32&lt;&gt;1,AL32,0)</f>
        <v>0</v>
      </c>
      <c r="W32" s="423"/>
      <c r="X32" s="423"/>
      <c r="Y32" s="423">
        <f>IF($AZ$32&lt;&gt;1,AO32,0)</f>
        <v>0</v>
      </c>
      <c r="Z32" s="423"/>
      <c r="AA32" s="423"/>
      <c r="AB32" s="423"/>
      <c r="AC32" s="423">
        <f>IF($AZ$32&lt;&gt;1,AS32,0)</f>
        <v>1</v>
      </c>
      <c r="AD32" s="423"/>
      <c r="AE32" s="423">
        <f>AU32</f>
        <v>0</v>
      </c>
      <c r="AF32" s="423"/>
      <c r="AG32" s="486">
        <f>V32*V25+Y32*Y25+AC32*AC25+AE32*$AE$8</f>
        <v>3750</v>
      </c>
      <c r="AH32" s="431">
        <f>IF($E$8=$BG$50,(V32*0.25+Y32*0.5+AC32*0.75+AE32)*Цены!$I$29,
IF($E$8=$BG$51,(V32*0.25+Y32*0.5+AC32*0.75+AE32)*Цены!$I$30,
IF($E$8=$BG$52,(V32*0.25+Y32*0.5+AC32*0.75+AE32)*Цены!$I$31,
IF($E$8=$BG$53,(V32*0.25+Y32*0.5+AC32*0.75+AE32)*Цены!$I$32,
(V32*0.25+Y32*0.5+AC32*0.75+AE32)*Цены!$I$35))))</f>
        <v>1986.645</v>
      </c>
      <c r="AI32" s="3"/>
      <c r="AJ32" s="3"/>
      <c r="AK32" s="146"/>
      <c r="AL32" s="144">
        <f>IF(AND((AW32+AW33)&gt;0,(AW32+AW33)&lt;=1250),1,0)</f>
        <v>0</v>
      </c>
      <c r="AM32" s="146"/>
      <c r="AN32" s="146"/>
      <c r="AO32" s="144">
        <f>IF(AND((AW32+AW33)&gt;1250,(AW32+AW33)&lt;=2500),1,0)</f>
        <v>0</v>
      </c>
      <c r="AP32" s="146"/>
      <c r="AQ32" s="146"/>
      <c r="AR32" s="146"/>
      <c r="AS32" s="144">
        <f>IF(AND(AW32&gt;2500,AW32&lt;=3750),1,0)+IF(AND(AW33&gt;2500,AW33&lt;=3750),1,0)+IF(AND((AW32+AW33)&gt;2500,(AW32+AW33)&lt;=3750),1,0)</f>
        <v>1</v>
      </c>
      <c r="AT32" s="146"/>
      <c r="AU32" s="144">
        <f>IF(AZ32=1,0,IF(AND(AW32&gt;3750,AW32&lt;=5000),1,0)+IF(AND(AW33&gt;3750,AW33&lt;=5000),1,0))+AZ32+AX32+AX33</f>
        <v>0</v>
      </c>
      <c r="AV32" s="146"/>
      <c r="AW32" s="189">
        <f t="shared" si="12"/>
        <v>1800</v>
      </c>
      <c r="AX32" s="189">
        <f t="shared" si="12"/>
        <v>0</v>
      </c>
      <c r="AY32" s="189"/>
      <c r="AZ32" s="189">
        <f>IF(AND((AW32+AW33)&gt;3750,(AW32+AW33)&lt;=5000),1,0)</f>
        <v>0</v>
      </c>
      <c r="BA32" s="189"/>
      <c r="BB32" s="189"/>
      <c r="BC32" s="192"/>
    </row>
    <row r="33" spans="1:65" ht="25.05" customHeight="1" thickBot="1" x14ac:dyDescent="0.35">
      <c r="B33" s="68"/>
      <c r="C33" s="68"/>
      <c r="D33" s="68"/>
      <c r="E33" s="68"/>
      <c r="F33" s="68"/>
      <c r="G33" s="68"/>
      <c r="H33" s="68"/>
      <c r="J33" s="419" t="s">
        <v>46</v>
      </c>
      <c r="K33" s="420"/>
      <c r="L33" s="420"/>
      <c r="M33" s="420"/>
      <c r="N33" s="211" t="s">
        <v>236</v>
      </c>
      <c r="O33" s="235">
        <f>IF(E15=BG23,IF(K5&gt;=900,2,IF(AND(K5&gt;650,K5&lt;900),1,0))*(E9-1)+IF(M5&gt;=900,2,IF(AND(M5&gt;650,M5&lt;900),1,0))*(E10-1),0)</f>
        <v>0</v>
      </c>
      <c r="P33" s="254"/>
      <c r="Q33" s="254"/>
      <c r="R33" s="266">
        <f>O33*Цены!I81</f>
        <v>0</v>
      </c>
      <c r="S33" s="247"/>
      <c r="T33" s="331" t="str">
        <f t="shared" si="11"/>
        <v>рамка верхняя Б</v>
      </c>
      <c r="U33" s="423"/>
      <c r="V33" s="423"/>
      <c r="W33" s="423"/>
      <c r="X33" s="423"/>
      <c r="Y33" s="423"/>
      <c r="Z33" s="423"/>
      <c r="AA33" s="423"/>
      <c r="AB33" s="423"/>
      <c r="AC33" s="423"/>
      <c r="AD33" s="423"/>
      <c r="AE33" s="423"/>
      <c r="AF33" s="423"/>
      <c r="AG33" s="486"/>
      <c r="AH33" s="431"/>
      <c r="AI33" s="147"/>
      <c r="AW33" s="189">
        <f t="shared" si="12"/>
        <v>1800</v>
      </c>
      <c r="AX33" s="189">
        <f t="shared" si="12"/>
        <v>0</v>
      </c>
      <c r="AY33" s="189"/>
      <c r="AZ33" s="189"/>
      <c r="BA33" s="189"/>
      <c r="BB33" s="189"/>
      <c r="BG33" s="80" t="s">
        <v>123</v>
      </c>
    </row>
    <row r="34" spans="1:65" ht="25.05" customHeight="1" thickBot="1" x14ac:dyDescent="0.35">
      <c r="B34" s="59"/>
      <c r="C34" s="60"/>
      <c r="D34" s="60"/>
      <c r="E34" s="60"/>
      <c r="F34" s="60"/>
      <c r="G34" s="60"/>
      <c r="H34" s="393" t="s">
        <v>479</v>
      </c>
      <c r="J34" s="417" t="s">
        <v>131</v>
      </c>
      <c r="K34" s="418"/>
      <c r="L34" s="418"/>
      <c r="M34" s="418"/>
      <c r="N34" s="210" t="s">
        <v>235</v>
      </c>
      <c r="O34" s="235">
        <f>IF(E14=BG23,2,0)</f>
        <v>0</v>
      </c>
      <c r="P34" s="254"/>
      <c r="Q34" s="254"/>
      <c r="R34" s="266">
        <f>O34*Цены!I131</f>
        <v>0</v>
      </c>
      <c r="S34" s="247"/>
      <c r="T34" s="331" t="str">
        <f t="shared" si="11"/>
        <v>рамка нижняя А</v>
      </c>
      <c r="U34" s="423"/>
      <c r="V34" s="423">
        <f>IF($AZ$34&lt;&gt;1,AL34,0)</f>
        <v>0</v>
      </c>
      <c r="W34" s="423"/>
      <c r="X34" s="423"/>
      <c r="Y34" s="423">
        <f>IF($AZ$34&lt;&gt;1,AO34,0)</f>
        <v>0</v>
      </c>
      <c r="Z34" s="423"/>
      <c r="AA34" s="423"/>
      <c r="AB34" s="423"/>
      <c r="AC34" s="423">
        <f>IF($AZ$34&lt;&gt;1,AS34,0)</f>
        <v>1</v>
      </c>
      <c r="AD34" s="423"/>
      <c r="AE34" s="423">
        <f t="shared" ref="AE34" si="14">AU34</f>
        <v>0</v>
      </c>
      <c r="AF34" s="423"/>
      <c r="AG34" s="486">
        <f>V34*V25+Y34*Y25+AC34*AC25+AE34*AE25</f>
        <v>3750</v>
      </c>
      <c r="AH34" s="431">
        <f>IF($E$8=$BG$50,(V34*0.25+Y34*0.5+AC34*0.75+AE34)*Цены!$I$37,
IF($E$8=$BG$51,(V34*0.25+Y34*0.5+AC34*0.75+AE34)*Цены!$I$38,
IF($E$8=$BG$52,(V34*0.25+Y34*0.5+AC34*0.75+AE34)*Цены!$I$39,
IF($E$8=$BG$53,(V34*0.25+Y34*0.5+AC34*0.75+AE34)*Цены!$I$40,
(V34*0.25+Y34*0.5+AC34*0.75+AE34)*Цены!$I$43))))</f>
        <v>1636.3425</v>
      </c>
      <c r="AI34" s="3"/>
      <c r="AK34" s="146"/>
      <c r="AL34" s="144">
        <f>IF(AND((AW34+AW35)&gt;0,(AW34+AW35)&lt;=1250),1,0)</f>
        <v>0</v>
      </c>
      <c r="AM34" s="146"/>
      <c r="AN34" s="146"/>
      <c r="AO34" s="144">
        <f>IF(AND((AW34+AW35)&gt;1250,(AW34+AW35)&lt;=2500),1,0)</f>
        <v>0</v>
      </c>
      <c r="AP34" s="146"/>
      <c r="AQ34" s="146"/>
      <c r="AR34" s="146"/>
      <c r="AS34" s="144">
        <f>IF(AND(AW34&gt;2500,AW34&lt;=3750),1,0)+IF(AND(AW35&gt;2500,AW35&lt;=3750),1,0)+IF(AND((AW34+AW35)&gt;2500,(AW34+AW35)&lt;=3750),1,0)</f>
        <v>1</v>
      </c>
      <c r="AT34" s="146"/>
      <c r="AU34" s="144">
        <f>IF(AZ32=1,0,IF(AND(AW34&gt;3750,AW34&lt;=5000),1,0)+IF(AND(AW35&gt;3750,AW35&lt;=5000),1,0))+AZ34+AX34+AX35</f>
        <v>0</v>
      </c>
      <c r="AV34" s="146"/>
      <c r="AW34" s="189">
        <f t="shared" si="12"/>
        <v>1800</v>
      </c>
      <c r="AX34" s="189">
        <f t="shared" si="12"/>
        <v>0</v>
      </c>
      <c r="AY34" s="189"/>
      <c r="AZ34" s="189">
        <f t="shared" ref="AZ34" si="15">IF(AND((AW34+AW35)&gt;3750,(AW34+AW35)&lt;=5000),1,0)</f>
        <v>0</v>
      </c>
      <c r="BA34" s="189"/>
      <c r="BB34" s="189"/>
      <c r="BG34" s="80" t="s">
        <v>100</v>
      </c>
    </row>
    <row r="35" spans="1:65" ht="25.05" customHeight="1" thickBot="1" x14ac:dyDescent="0.35">
      <c r="B35" s="208" t="s">
        <v>113</v>
      </c>
      <c r="C35" s="63">
        <f>E6+1</f>
        <v>1</v>
      </c>
      <c r="D35" s="64" t="str">
        <f>IF(C20&gt;5,BG33,BG34)</f>
        <v xml:space="preserve"> </v>
      </c>
      <c r="E35" s="358"/>
      <c r="F35" s="358"/>
      <c r="G35" s="358"/>
      <c r="H35" s="65"/>
      <c r="J35" s="417" t="s">
        <v>237</v>
      </c>
      <c r="K35" s="418"/>
      <c r="L35" s="418"/>
      <c r="M35" s="418"/>
      <c r="N35" s="210" t="s">
        <v>204</v>
      </c>
      <c r="O35" s="235">
        <f>SUM(M15:M20)*2</f>
        <v>24</v>
      </c>
      <c r="P35" s="254"/>
      <c r="Q35" s="254"/>
      <c r="R35" s="266">
        <f>O35*Цены!I163</f>
        <v>179.52</v>
      </c>
      <c r="S35" s="247"/>
      <c r="T35" s="331" t="str">
        <f t="shared" si="11"/>
        <v>рамка нижняя Б</v>
      </c>
      <c r="U35" s="423"/>
      <c r="V35" s="423"/>
      <c r="W35" s="423"/>
      <c r="X35" s="423"/>
      <c r="Y35" s="423"/>
      <c r="Z35" s="423"/>
      <c r="AA35" s="423"/>
      <c r="AB35" s="423"/>
      <c r="AC35" s="423"/>
      <c r="AD35" s="423"/>
      <c r="AE35" s="423"/>
      <c r="AF35" s="423"/>
      <c r="AG35" s="486"/>
      <c r="AH35" s="431"/>
      <c r="AI35" s="3"/>
      <c r="AW35" s="189">
        <f t="shared" si="12"/>
        <v>1800</v>
      </c>
      <c r="AX35" s="189">
        <f t="shared" si="12"/>
        <v>0</v>
      </c>
      <c r="AY35" s="189"/>
      <c r="AZ35" s="189"/>
      <c r="BA35" s="189"/>
      <c r="BB35" s="189" t="str">
        <f>BB18</f>
        <v>4в1</v>
      </c>
      <c r="BC35" s="189" t="str">
        <f>BC18</f>
        <v>стандарт</v>
      </c>
      <c r="BD35" s="192" t="s">
        <v>277</v>
      </c>
      <c r="BE35" s="193" t="s">
        <v>278</v>
      </c>
    </row>
    <row r="36" spans="1:65" ht="25.05" customHeight="1" x14ac:dyDescent="0.3">
      <c r="B36" s="67"/>
      <c r="C36" s="68"/>
      <c r="D36" s="68"/>
      <c r="E36" s="68"/>
      <c r="F36" s="68"/>
      <c r="G36" s="68"/>
      <c r="H36" s="69"/>
      <c r="J36" s="417" t="s">
        <v>88</v>
      </c>
      <c r="K36" s="418"/>
      <c r="L36" s="418"/>
      <c r="M36" s="418"/>
      <c r="N36" s="210" t="s">
        <v>272</v>
      </c>
      <c r="O36" s="237">
        <f>ROUNDUP((IF(C24=BG28,(E24+F24)*2*G24,0)+IF(C25=BG28,(E25+F25)*2*G25,0)+IF(C26=BG28,(E26+F26)*2*G26,0)+IF(C27=BG28,(E27+F27)*2*G27,0)+IF(C28=BG28,(E28+F28)*2*G28,0))/1000,0)+ROUNDUP((IF(C39=$BG$28,(E39+F39)*2*G39,0)+IF(C40=$BG$28,(E40+F40)*2*G40,0)+IF(C41=$BG$28,(E41+F41)*2*G41,0)+IF(C42=$BG$28,(E42+F42)*2*G42,0)+IF(C43=$BG$28,(E43+F43)*2*G43,0))/1000,0)</f>
        <v>0</v>
      </c>
      <c r="P36" s="256"/>
      <c r="Q36" s="256"/>
      <c r="R36" s="266">
        <f>O36*Цены!I156</f>
        <v>0</v>
      </c>
      <c r="S36" s="247"/>
      <c r="T36" s="331" t="str">
        <f t="shared" si="11"/>
        <v>рамка средняя Стандарт А</v>
      </c>
      <c r="U36" s="423"/>
      <c r="V36" s="423">
        <f>IF($BB$36&lt;&gt;1,AL36,0)</f>
        <v>0</v>
      </c>
      <c r="W36" s="423">
        <f>IF($BC$36&lt;&gt;1,AM36,0)</f>
        <v>0</v>
      </c>
      <c r="X36" s="423"/>
      <c r="Y36" s="423">
        <f>IF($BB$36&lt;&gt;1,AO36,0)</f>
        <v>0</v>
      </c>
      <c r="Z36" s="423">
        <f>IF($BC$36&lt;&gt;1,AP36,0)</f>
        <v>0</v>
      </c>
      <c r="AA36" s="423"/>
      <c r="AB36" s="423">
        <f>IF($BC$36&lt;&gt;1,AR36,0)</f>
        <v>0</v>
      </c>
      <c r="AC36" s="423">
        <f>IF($BB$36&lt;&gt;1,AS36,0)</f>
        <v>0</v>
      </c>
      <c r="AD36" s="423"/>
      <c r="AE36" s="423">
        <f t="shared" ref="AE36:AF36" si="16">AU36</f>
        <v>0</v>
      </c>
      <c r="AF36" s="423">
        <f t="shared" si="16"/>
        <v>0</v>
      </c>
      <c r="AG36" s="486">
        <f>V36*V25+W36*W25+Y36*Y25+Z36*Z25+AB36*AB25+AC36*AC25+AE36*AE25+AF36*AF25</f>
        <v>0</v>
      </c>
      <c r="AH36" s="431">
        <f>IF(E7=BO6,BE36,BD36)</f>
        <v>0</v>
      </c>
      <c r="AI36" s="3"/>
      <c r="AK36" s="146"/>
      <c r="AL36" s="194">
        <f>IF(AND((AW19+AW20)&gt;0,(AW19+AW20)&lt;=1250),1,0)</f>
        <v>0</v>
      </c>
      <c r="AM36" s="195">
        <f>IF(AND((AZ36+AZ37)&gt;0,(AZ36+AZ37)&lt;=1800),1,0)</f>
        <v>0</v>
      </c>
      <c r="AN36" s="146"/>
      <c r="AO36" s="194">
        <f>IF(AND((AW19+AW20)&gt;1250,(AW19+AW20)&lt;=2500),1,0)</f>
        <v>0</v>
      </c>
      <c r="AP36" s="195">
        <f>IF(AND((AZ36+AZ37)&gt;1800,(AZ36+AZ37)&lt;=2700),1,0)</f>
        <v>0</v>
      </c>
      <c r="AQ36" s="146"/>
      <c r="AR36" s="195">
        <f>IF(AND((AZ36+AZ37)&gt;2700,(AZ36+AZ37)&lt;=3600),1,0)+IF(AND(AZ36&gt;2700,AZ36&lt;=3600),1,0)+IF(AND(AZ37&gt;2700,AZ37&lt;=3600),1,0)</f>
        <v>0</v>
      </c>
      <c r="AS36" s="194">
        <f>IF(AND(AW36&gt;2500,AW36&lt;=3750),1,0)+IF(AND(AW37&gt;2500,AW37&lt;=3750),1,0)+IF(AND((AW36+AW37)&gt;2500,(AW36+AW37)&lt;=3750),1,0)</f>
        <v>0</v>
      </c>
      <c r="AT36" s="146"/>
      <c r="AU36" s="194">
        <f>IF(BB36=1,0,IF(AND(AW36&gt;3750,AW36&lt;=5000),1,0)+IF(AND(AW37&gt;3750,AW37&lt;=5000),1,0))+BB36+AX36+AX37</f>
        <v>0</v>
      </c>
      <c r="AV36" s="195">
        <f>IF(BC36=1,0,IF(AND(AZ36&gt;3600,AZ36&lt;=AN24),1,0)+IF(AND(AZ37&gt;3600,AZ37&lt;=AN24),1,0))+BC36+BA36+BA37</f>
        <v>0</v>
      </c>
      <c r="AW36" s="189">
        <f t="shared" si="12"/>
        <v>0</v>
      </c>
      <c r="AX36" s="189">
        <f t="shared" si="12"/>
        <v>0</v>
      </c>
      <c r="AY36" s="189"/>
      <c r="AZ36" s="189">
        <f>AZ19</f>
        <v>0</v>
      </c>
      <c r="BA36" s="189">
        <f>BA19</f>
        <v>0</v>
      </c>
      <c r="BB36" s="189">
        <f>IF(AND((AW36+AW37)&gt;3750,(AW36+AW37)&lt;=5000),1,0)</f>
        <v>0</v>
      </c>
      <c r="BC36" s="189">
        <f>BC19</f>
        <v>0</v>
      </c>
      <c r="BD36" s="6">
        <f>IF($E$8=$BG$50,(V36*0.25+Y36*0.5+AC36*0.75+AE36)*Цены!$I$45,
IF($E$8=$BG$51,(V36*0.25+Y36*0.5+AC36*0.75+AE36)*Цены!$I$46,
IF($E$8=$BG$52,(V36*0.25+Y36*0.5+AC36*0.75+AE36)*Цены!$I$47,
IF($E$8=$BG$53,(V36*0.25+Y36*0.5+AC36*0.75+AE36)*Цены!$I$48,
(V36*0.25+Y36*0.5+AC36*0.75+AE36)*Цены!$I$51))))</f>
        <v>0</v>
      </c>
      <c r="BE36" s="6">
        <f>IF($E$8=$BG$50,(W36*0.34+Z36*0.5+AB36*0.67+AF36)*Цены!$I$69,
IF($E$8=$BG$51,(W36*0.34+Z36*0.5+AB36*0.67+AF36)*Цены!$I$70,
IF($E$8=$BG$52,(W36*0.34+Z36*0.5+AB36*0.67+AF36)*Цены!$I$71,
IF($E$8=$BG$53,(W36*0.34+Z36*0.5+AB36*0.67+AF36)*Цены!$I$71,
(W36*0.34+Z36*0.5+AB36*0.67+AF36)*Цены!$I$75))))</f>
        <v>0</v>
      </c>
      <c r="BG36" s="1" t="s">
        <v>86</v>
      </c>
    </row>
    <row r="37" spans="1:65" ht="25.05" customHeight="1" thickBot="1" x14ac:dyDescent="0.35">
      <c r="B37" s="67"/>
      <c r="C37" s="68"/>
      <c r="D37" s="68"/>
      <c r="E37" s="68"/>
      <c r="F37" s="68"/>
      <c r="G37" s="68"/>
      <c r="H37" s="69"/>
      <c r="J37" s="417" t="s">
        <v>90</v>
      </c>
      <c r="K37" s="418"/>
      <c r="L37" s="418"/>
      <c r="M37" s="418"/>
      <c r="N37" s="210" t="s">
        <v>205</v>
      </c>
      <c r="O37" s="237">
        <f>ROUNDUP((IF(C24=BG29,(E24+F24)*2*G24,0)+IF(C25=BG29,(E25+F25)*2*G25,0)+IF(C26=BG29,(E26+F26)*2*G26,0)+IF(C27=BG29,(E27+F27)*2*G27,0)+IF(C28=BG29,(E28+F28)*2*G28,0))/1000,0)+ROUNDUP((IF(C39=$BG$29,(E39+F39)*2*G39,0)+IF(C40=$BG$29,(E40+F40)*2*G40,0)+IF(C41=$BG$29,(E41+F41)*2*G41,0)+IF(C42=$BG$29,(E42+F42)*2*G42,0)+IF(C43=$BG$29,(E43+F43)*2*G43,0))/1000,0)</f>
        <v>38</v>
      </c>
      <c r="P37" s="256"/>
      <c r="Q37" s="256"/>
      <c r="R37" s="266">
        <f>O37*Цены!I157</f>
        <v>1329.6200000000001</v>
      </c>
      <c r="S37" s="247"/>
      <c r="T37" s="331" t="str">
        <f t="shared" si="11"/>
        <v>рамка средняя Стандарт Б</v>
      </c>
      <c r="U37" s="423"/>
      <c r="V37" s="423"/>
      <c r="W37" s="423"/>
      <c r="X37" s="423"/>
      <c r="Y37" s="423"/>
      <c r="Z37" s="423"/>
      <c r="AA37" s="423"/>
      <c r="AB37" s="423"/>
      <c r="AC37" s="423"/>
      <c r="AD37" s="423"/>
      <c r="AE37" s="423"/>
      <c r="AF37" s="423"/>
      <c r="AG37" s="486"/>
      <c r="AH37" s="489"/>
      <c r="AI37" s="3"/>
      <c r="AW37" s="189">
        <f t="shared" si="12"/>
        <v>0</v>
      </c>
      <c r="AX37" s="189">
        <f t="shared" si="12"/>
        <v>0</v>
      </c>
      <c r="AY37" s="189"/>
      <c r="AZ37" s="189">
        <f>AZ20</f>
        <v>0</v>
      </c>
      <c r="BA37" s="189">
        <f>BA20</f>
        <v>0</v>
      </c>
      <c r="BB37" s="189"/>
      <c r="BD37" s="147"/>
      <c r="BE37" s="147"/>
      <c r="BG37" s="84" t="s">
        <v>165</v>
      </c>
    </row>
    <row r="38" spans="1:65" ht="25.05" customHeight="1" thickBot="1" x14ac:dyDescent="0.35">
      <c r="B38" s="70" t="s">
        <v>114</v>
      </c>
      <c r="C38" s="357" t="s">
        <v>115</v>
      </c>
      <c r="D38" s="71" t="s">
        <v>84</v>
      </c>
      <c r="E38" s="357" t="s">
        <v>116</v>
      </c>
      <c r="F38" s="357" t="s">
        <v>117</v>
      </c>
      <c r="G38" s="357" t="s">
        <v>133</v>
      </c>
      <c r="H38" s="72" t="s">
        <v>134</v>
      </c>
      <c r="J38" s="417" t="s">
        <v>86</v>
      </c>
      <c r="K38" s="418"/>
      <c r="L38" s="418"/>
      <c r="M38" s="418"/>
      <c r="N38" s="210" t="s">
        <v>206</v>
      </c>
      <c r="O38" s="235">
        <f>IF(E13=BG36,O35,0)</f>
        <v>24</v>
      </c>
      <c r="P38" s="254"/>
      <c r="Q38" s="254"/>
      <c r="R38" s="266">
        <f>O38*Цены!I150</f>
        <v>217.92000000000002</v>
      </c>
      <c r="S38" s="247"/>
      <c r="T38" s="389"/>
      <c r="U38" s="477" t="s">
        <v>109</v>
      </c>
      <c r="V38" s="477"/>
      <c r="W38" s="477"/>
      <c r="X38" s="477"/>
      <c r="Y38" s="477"/>
      <c r="Z38" s="477"/>
      <c r="AA38" s="477"/>
      <c r="AB38" s="477"/>
      <c r="AC38" s="477"/>
      <c r="AD38" s="477"/>
      <c r="AE38" s="477"/>
      <c r="AF38" s="477"/>
      <c r="AG38" s="478"/>
      <c r="AH38" s="139">
        <f>SUM(AH26:AH37)</f>
        <v>49747.937499999993</v>
      </c>
      <c r="AI38" s="3"/>
      <c r="BD38" s="3"/>
      <c r="BE38" s="3"/>
      <c r="BG38" s="84" t="s">
        <v>135</v>
      </c>
    </row>
    <row r="39" spans="1:65" ht="25.05" customHeight="1" x14ac:dyDescent="0.3">
      <c r="B39" s="73" t="s">
        <v>118</v>
      </c>
      <c r="C39" s="15" t="s">
        <v>13</v>
      </c>
      <c r="D39" s="96">
        <v>0</v>
      </c>
      <c r="E39" s="16">
        <f>M4-
IF(E43=0,0,IF(C43=BG27,E43,IF(C43=BG28,E43+2,E43+3)))-
IF(E42=0,0,IF(C42=BG27,E42,IF(C42=BG28,E42+2,E42+3)))-
IF(E41=0,0,IF(C41=BG27,E41,IF(C41=BG28,E41+2,E41+3)))-
IF(E40=0,0,IF(C40=BG27,E40,IF(C40=BG28,E40+2,E40+3)))-44-
IF(C39=BG28,2,IF(C39=BG29,3,0))-E6*BQ6</f>
        <v>2493</v>
      </c>
      <c r="F39" s="74">
        <f>IF(C39=$BG$29,$M$5-63,IF(C39=$BG$28,$M$5-62,$M$5-60))</f>
        <v>615</v>
      </c>
      <c r="G39" s="75">
        <f>$E$10</f>
        <v>3</v>
      </c>
      <c r="H39" s="76">
        <f>E39*F39*D39*G39/1000000</f>
        <v>0</v>
      </c>
      <c r="J39" s="417" t="s">
        <v>172</v>
      </c>
      <c r="K39" s="418"/>
      <c r="L39" s="418"/>
      <c r="M39" s="418"/>
      <c r="N39" s="212" t="s">
        <v>207</v>
      </c>
      <c r="O39" s="372">
        <f>IF(E13=BG37,O35,0)</f>
        <v>0</v>
      </c>
      <c r="P39" s="253"/>
      <c r="Q39" s="253"/>
      <c r="R39" s="266">
        <f>O39*Цены!I111</f>
        <v>0</v>
      </c>
      <c r="S39" s="247"/>
      <c r="AI39" s="3"/>
      <c r="BD39" s="147"/>
      <c r="BE39" s="147"/>
      <c r="BG39" s="1" t="s">
        <v>82</v>
      </c>
      <c r="BM39" s="309">
        <f>IF(E39&lt;&gt;0,1,0)</f>
        <v>1</v>
      </c>
    </row>
    <row r="40" spans="1:65" ht="25.05" customHeight="1" thickBot="1" x14ac:dyDescent="0.35">
      <c r="B40" s="73" t="s">
        <v>119</v>
      </c>
      <c r="C40" s="15" t="s">
        <v>13</v>
      </c>
      <c r="D40" s="96">
        <v>0</v>
      </c>
      <c r="E40" s="17">
        <v>0</v>
      </c>
      <c r="F40" s="74">
        <f>IF(C40=$BG$29,$M$5-63,IF(C40=$BG$28,$M$5-62,$M$5-60))</f>
        <v>615</v>
      </c>
      <c r="G40" s="75">
        <f>IF(E40&lt;&gt;0,$E$10,0)</f>
        <v>0</v>
      </c>
      <c r="H40" s="76">
        <f>E40*F40*D40*G40/1000000</f>
        <v>0</v>
      </c>
      <c r="J40" s="415" t="s">
        <v>82</v>
      </c>
      <c r="K40" s="416"/>
      <c r="L40" s="416"/>
      <c r="M40" s="416"/>
      <c r="N40" s="210" t="s">
        <v>208</v>
      </c>
      <c r="O40" s="238">
        <f>IF(E13=BG39,ROUNDUP(L9*M9/1000,0),0)</f>
        <v>0</v>
      </c>
      <c r="P40" s="257"/>
      <c r="Q40" s="257"/>
      <c r="R40" s="266">
        <f>O40*Цены!I140</f>
        <v>0</v>
      </c>
      <c r="S40" s="247"/>
      <c r="AI40" s="3"/>
      <c r="AJ40" s="55" t="s">
        <v>480</v>
      </c>
      <c r="AM40" s="55" t="s">
        <v>484</v>
      </c>
      <c r="BD40" s="147"/>
      <c r="BE40" s="147"/>
      <c r="BG40" s="6"/>
      <c r="BM40" s="309">
        <f>IF(E40&lt;&gt;0,1,0)</f>
        <v>0</v>
      </c>
    </row>
    <row r="41" spans="1:65" ht="25.05" customHeight="1" thickBot="1" x14ac:dyDescent="0.35">
      <c r="B41" s="73" t="s">
        <v>120</v>
      </c>
      <c r="C41" s="15" t="s">
        <v>13</v>
      </c>
      <c r="D41" s="96">
        <v>0</v>
      </c>
      <c r="E41" s="17">
        <v>0</v>
      </c>
      <c r="F41" s="74">
        <f t="shared" ref="F41:F43" si="17">IF(C41=$BG$29,$M$5-63,IF(C41=$BG$28,$M$5-62,$M$5-60))</f>
        <v>615</v>
      </c>
      <c r="G41" s="75">
        <f t="shared" ref="G41:G43" si="18">IF(E41&lt;&gt;0,$E$10,0)</f>
        <v>0</v>
      </c>
      <c r="H41" s="76">
        <f>E41*F41*D41*G41/1000000</f>
        <v>0</v>
      </c>
      <c r="J41" s="415" t="s">
        <v>135</v>
      </c>
      <c r="K41" s="416"/>
      <c r="L41" s="416"/>
      <c r="M41" s="416"/>
      <c r="N41" s="210" t="s">
        <v>209</v>
      </c>
      <c r="O41" s="238">
        <f>IF(E13=BG38,ROUNDUP(L9*M9/1000,0),0)</f>
        <v>0</v>
      </c>
      <c r="P41" s="257"/>
      <c r="Q41" s="257"/>
      <c r="R41" s="266">
        <f>O41*Цены!I159</f>
        <v>0</v>
      </c>
      <c r="S41" s="247"/>
      <c r="AB41" s="438" t="s">
        <v>108</v>
      </c>
      <c r="AC41" s="438"/>
      <c r="AD41" s="438"/>
      <c r="AE41" s="438"/>
      <c r="AF41" s="438"/>
      <c r="AG41" s="438"/>
      <c r="AH41" s="267">
        <f>IF(Z3=BP21,AH21+R46+H29,AH38+R46+H29)</f>
        <v>67945.100000000006</v>
      </c>
      <c r="AI41" s="3"/>
      <c r="AJ41" s="149">
        <f>IF(C24=$BG$27,(F24*E24/1000000)*8,IF(C24=$BG$28,(F24*E24/1000000)*6.5,(F24*E24/1000000)*11))</f>
        <v>16.865145000000002</v>
      </c>
      <c r="AM41" s="149">
        <f>IF(C39=$BG$27,(F39*E39/1000000)*8,IF(C39=$BG$28,(F39*E39/1000000)*6.5,(F39*E39/1000000)*11))</f>
        <v>16.865145000000002</v>
      </c>
      <c r="BD41" s="147"/>
      <c r="BE41" s="147"/>
      <c r="BM41" s="309">
        <f>IF(E41&lt;&gt;0,1,0)</f>
        <v>0</v>
      </c>
    </row>
    <row r="42" spans="1:65" ht="25.05" customHeight="1" x14ac:dyDescent="0.3">
      <c r="B42" s="73" t="s">
        <v>121</v>
      </c>
      <c r="C42" s="15" t="s">
        <v>13</v>
      </c>
      <c r="D42" s="96">
        <v>0</v>
      </c>
      <c r="E42" s="17">
        <v>0</v>
      </c>
      <c r="F42" s="74">
        <f t="shared" si="17"/>
        <v>615</v>
      </c>
      <c r="G42" s="75">
        <f t="shared" si="18"/>
        <v>0</v>
      </c>
      <c r="H42" s="76">
        <f>E42*F42*D42*G42/1000000</f>
        <v>0</v>
      </c>
      <c r="J42" s="415" t="s">
        <v>167</v>
      </c>
      <c r="K42" s="416"/>
      <c r="L42" s="416"/>
      <c r="M42" s="416"/>
      <c r="N42" s="300" t="s">
        <v>210</v>
      </c>
      <c r="O42" s="236">
        <f>IF(O41&gt;0,M9*2,0)</f>
        <v>0</v>
      </c>
      <c r="P42" s="255"/>
      <c r="Q42" s="255"/>
      <c r="R42" s="266">
        <f>O42*Цены!I155</f>
        <v>0</v>
      </c>
      <c r="S42" s="247"/>
      <c r="AI42" s="3"/>
      <c r="AJ42" s="149">
        <f>IF(C25=$BG$27,(F25*E25/1000000)*8,IF(C25=$BG$28,(F25*E25/1000000)*6.5,(F25*E25/1000000)*11))</f>
        <v>0</v>
      </c>
      <c r="AM42" s="149">
        <f>IF(C40=$BG$27,(F40*E40/1000000)*8,IF(C40=$BG$28,(F40*E40/1000000)*6.5,(F40*E40/1000000)*11))</f>
        <v>0</v>
      </c>
      <c r="BD42" s="155"/>
      <c r="BE42" s="155"/>
      <c r="BM42" s="309">
        <f>IF(E42&lt;&gt;0,1,0)</f>
        <v>0</v>
      </c>
    </row>
    <row r="43" spans="1:65" ht="25.05" customHeight="1" thickBot="1" x14ac:dyDescent="0.35">
      <c r="B43" s="81" t="s">
        <v>122</v>
      </c>
      <c r="C43" s="15" t="s">
        <v>13</v>
      </c>
      <c r="D43" s="96">
        <v>0</v>
      </c>
      <c r="E43" s="17">
        <v>0</v>
      </c>
      <c r="F43" s="74">
        <f t="shared" si="17"/>
        <v>615</v>
      </c>
      <c r="G43" s="75">
        <f t="shared" si="18"/>
        <v>0</v>
      </c>
      <c r="H43" s="76">
        <f>E43*F43*D43*G43/1000000</f>
        <v>0</v>
      </c>
      <c r="J43" s="415" t="s">
        <v>168</v>
      </c>
      <c r="K43" s="416"/>
      <c r="L43" s="416"/>
      <c r="M43" s="416"/>
      <c r="N43" s="210" t="s">
        <v>239</v>
      </c>
      <c r="O43" s="236">
        <f>E16</f>
        <v>0</v>
      </c>
      <c r="P43" s="255"/>
      <c r="Q43" s="255"/>
      <c r="R43" s="266">
        <f>O43*Цены!I125</f>
        <v>0</v>
      </c>
      <c r="S43" s="247"/>
      <c r="AI43" s="3"/>
      <c r="AJ43" s="149">
        <f>IF(C26=$BG$27,(F26*E26/1000000)*8,IF(C26=$BG$28,(F26*E26/1000000)*6.5,(F26*E26/1000000)*11))</f>
        <v>0</v>
      </c>
      <c r="AM43" s="149">
        <f>IF(C41=$BG$27,(F41*E41/1000000)*8,IF(C41=$BG$28,(F41*E41/1000000)*6.5,(F41*E41/1000000)*11))</f>
        <v>0</v>
      </c>
      <c r="BD43" s="147"/>
      <c r="BE43" s="147"/>
      <c r="BG43" s="80" t="s">
        <v>124</v>
      </c>
      <c r="BM43" s="309">
        <f>IF(E43&lt;&gt;0,1,0)</f>
        <v>0</v>
      </c>
    </row>
    <row r="44" spans="1:65" ht="25.05" customHeight="1" thickBot="1" x14ac:dyDescent="0.35">
      <c r="B44" s="67"/>
      <c r="C44" s="68"/>
      <c r="D44" s="68"/>
      <c r="E44" s="432" t="s">
        <v>85</v>
      </c>
      <c r="F44" s="433"/>
      <c r="G44" s="434"/>
      <c r="H44" s="82">
        <f>SUM(H39:H43)</f>
        <v>0</v>
      </c>
      <c r="J44" s="415" t="s">
        <v>170</v>
      </c>
      <c r="K44" s="416"/>
      <c r="L44" s="416"/>
      <c r="M44" s="416"/>
      <c r="N44" s="210" t="s">
        <v>240</v>
      </c>
      <c r="O44" s="236">
        <f>IF(AND(E17=BG23,E12=BG23),1,IF(AND(E17=BG23,E11=BG23),2,IF(E17=BG23,E9-1+E10-1,0)))</f>
        <v>0</v>
      </c>
      <c r="P44" s="255"/>
      <c r="Q44" s="255"/>
      <c r="R44" s="266">
        <f>O44*Цены!I89</f>
        <v>0</v>
      </c>
      <c r="S44" s="261"/>
      <c r="AI44" s="5"/>
      <c r="AJ44" s="149">
        <f>IF(C27=$BG$27,(F27*E27/1000000)*8,IF(C27=$BG$28,(F27*E27/1000000)*6.5,(F27*E27/1000000)*11))</f>
        <v>0</v>
      </c>
      <c r="AK44" s="5"/>
      <c r="AL44" s="5"/>
      <c r="AM44" s="149">
        <f>IF(C42=$BG$27,(F42*E42/1000000)*8,IF(C42=$BG$28,(F42*E42/1000000)*6.5,(F42*E42/1000000)*11))</f>
        <v>0</v>
      </c>
      <c r="AN44" s="5"/>
      <c r="AQ44" s="5"/>
      <c r="AR44" s="5"/>
      <c r="AS44" s="5"/>
      <c r="AT44" s="5"/>
      <c r="AU44" s="5"/>
      <c r="AV44" s="5"/>
      <c r="AW44" s="5"/>
      <c r="BG44" s="80" t="s">
        <v>125</v>
      </c>
    </row>
    <row r="45" spans="1:65" ht="25.05" customHeight="1" thickBot="1" x14ac:dyDescent="0.35">
      <c r="B45" s="67"/>
      <c r="C45" s="83" t="str">
        <f>IF((SUM(BM39:BM43)/C20)&lt;&gt;1,BG43,BG44)</f>
        <v>Верно внесены высоты вставок</v>
      </c>
      <c r="D45" s="358">
        <f>IF(C45=BG44,1,0)</f>
        <v>1</v>
      </c>
      <c r="E45" s="358"/>
      <c r="F45" s="358"/>
      <c r="G45" s="358"/>
      <c r="H45" s="69"/>
      <c r="J45" s="417" t="s">
        <v>497</v>
      </c>
      <c r="K45" s="418"/>
      <c r="L45" s="418"/>
      <c r="M45" s="418"/>
      <c r="N45" s="210" t="s">
        <v>498</v>
      </c>
      <c r="O45" s="235">
        <f>O30</f>
        <v>0</v>
      </c>
      <c r="P45" s="254"/>
      <c r="Q45" s="254"/>
      <c r="R45" s="266">
        <f>O45*Цены!I146</f>
        <v>0</v>
      </c>
      <c r="S45" s="5"/>
      <c r="T45" s="247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149">
        <f>IF(C28=$BG$27,(F28*E28/1000000)*8,IF(C28=$BG$28,(F28*E28/1000000)*6.5,(F28*E28/1000000)*11))</f>
        <v>0</v>
      </c>
      <c r="AM45" s="149">
        <f>IF(C43=$BG$27,(F43*E43/1000000)*8,IF(C43=$BG$28,(F43*E43/1000000)*6.5,(F43*E43/1000000)*11))</f>
        <v>0</v>
      </c>
    </row>
    <row r="46" spans="1:65" ht="25.05" customHeight="1" thickBot="1" x14ac:dyDescent="0.35">
      <c r="B46" s="67"/>
      <c r="C46" s="68"/>
      <c r="D46" s="68"/>
      <c r="E46" s="68"/>
      <c r="F46" s="68"/>
      <c r="G46" s="349" t="s">
        <v>279</v>
      </c>
      <c r="H46" s="394">
        <f>ROUNDUP((AJ24+AM46)*1.1,0)</f>
        <v>25</v>
      </c>
      <c r="I46" s="6"/>
      <c r="J46" s="12"/>
      <c r="K46" s="6"/>
      <c r="L46" s="354"/>
      <c r="M46" s="381"/>
      <c r="N46" s="101"/>
      <c r="O46" s="272"/>
      <c r="P46" s="250"/>
      <c r="Q46" s="467" t="s">
        <v>456</v>
      </c>
      <c r="R46" s="137">
        <f>SUM(R25:R45)</f>
        <v>17955.629999999997</v>
      </c>
      <c r="S46" s="261"/>
      <c r="T46" s="247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5"/>
      <c r="AJ46" s="150">
        <f>SUM(AJ41:AJ45)</f>
        <v>16.865145000000002</v>
      </c>
      <c r="AM46" s="150">
        <f>SUM(AM41:AM45)</f>
        <v>16.865145000000002</v>
      </c>
    </row>
    <row r="47" spans="1:65" ht="30" customHeight="1" thickBot="1" x14ac:dyDescent="0.4">
      <c r="A47" s="6"/>
      <c r="B47" s="390"/>
      <c r="C47" s="391" t="str">
        <f>IF(AND(SUM(BM39:BM43)/C20=1,E43=0,C20&lt;&gt;1),BG47,BG48)</f>
        <v xml:space="preserve"> </v>
      </c>
      <c r="D47" s="392"/>
      <c r="E47" s="391"/>
      <c r="F47" s="391"/>
      <c r="G47" s="154"/>
      <c r="H47" s="140"/>
      <c r="J47" s="14"/>
      <c r="K47" s="154"/>
      <c r="L47" s="377"/>
      <c r="M47" s="377"/>
      <c r="N47" s="273"/>
      <c r="O47" s="274"/>
      <c r="P47" s="258"/>
      <c r="Q47" s="467"/>
      <c r="R47" s="137">
        <f>R21+R46+H29</f>
        <v>68911.23</v>
      </c>
      <c r="S47" s="5"/>
      <c r="BG47" s="91" t="s">
        <v>132</v>
      </c>
    </row>
    <row r="48" spans="1:65" ht="30" customHeight="1" x14ac:dyDescent="0.3">
      <c r="A48" s="6"/>
      <c r="S48" s="5"/>
      <c r="BG48" s="1" t="s">
        <v>100</v>
      </c>
    </row>
    <row r="49" spans="1:61" ht="30" customHeight="1" x14ac:dyDescent="0.3">
      <c r="A49" s="6"/>
      <c r="S49" s="5"/>
      <c r="BG49" s="6"/>
    </row>
    <row r="50" spans="1:61" ht="30" customHeight="1" x14ac:dyDescent="0.3">
      <c r="A50" s="6"/>
      <c r="S50" s="5"/>
      <c r="BG50" s="39" t="str">
        <f>Цены!F8</f>
        <v>Серебро матовое</v>
      </c>
    </row>
    <row r="51" spans="1:61" x14ac:dyDescent="0.3">
      <c r="A51" s="6"/>
      <c r="S51" s="5"/>
      <c r="BG51" s="39" t="str">
        <f>Цены!F9</f>
        <v>Черный матовый</v>
      </c>
    </row>
    <row r="52" spans="1:61" x14ac:dyDescent="0.3">
      <c r="A52" s="6"/>
      <c r="S52" s="5"/>
      <c r="BG52" s="39" t="str">
        <f>Цены!F10</f>
        <v>Слоновая кость</v>
      </c>
    </row>
    <row r="53" spans="1:61" x14ac:dyDescent="0.3">
      <c r="S53" s="5"/>
      <c r="BG53" s="39" t="str">
        <f>Цены!F11</f>
        <v>Белый матовый</v>
      </c>
    </row>
    <row r="54" spans="1:61" x14ac:dyDescent="0.3">
      <c r="S54" s="6"/>
      <c r="BG54" s="39" t="str">
        <f>Цены!F12</f>
        <v xml:space="preserve">Венге темный </v>
      </c>
    </row>
    <row r="55" spans="1:61" x14ac:dyDescent="0.3">
      <c r="S55" s="6"/>
      <c r="BG55" s="39" t="str">
        <f>Цены!F13</f>
        <v>Дуб белый</v>
      </c>
    </row>
    <row r="56" spans="1:61" x14ac:dyDescent="0.3">
      <c r="BG56" s="39" t="str">
        <f>Цены!F14</f>
        <v xml:space="preserve"> медь античная*</v>
      </c>
    </row>
    <row r="57" spans="1:61" x14ac:dyDescent="0.3">
      <c r="BG57" s="39" t="str">
        <f>Цены!F15</f>
        <v>сталь воронёная*</v>
      </c>
    </row>
    <row r="58" spans="1:61" x14ac:dyDescent="0.3">
      <c r="BG58" s="6"/>
    </row>
    <row r="59" spans="1:61" ht="15.6" x14ac:dyDescent="0.3">
      <c r="BI59" s="49">
        <v>0</v>
      </c>
    </row>
    <row r="60" spans="1:61" ht="15.6" x14ac:dyDescent="0.3">
      <c r="BI60" s="49">
        <v>1</v>
      </c>
    </row>
    <row r="61" spans="1:61" ht="15.6" x14ac:dyDescent="0.3">
      <c r="BI61" s="49">
        <v>2</v>
      </c>
    </row>
    <row r="62" spans="1:61" ht="15.6" x14ac:dyDescent="0.3">
      <c r="AJ62" s="149"/>
      <c r="BI62" s="49">
        <v>3</v>
      </c>
    </row>
    <row r="63" spans="1:61" ht="15.6" x14ac:dyDescent="0.3">
      <c r="BI63" s="49">
        <v>4</v>
      </c>
    </row>
    <row r="64" spans="1:61" ht="15.6" x14ac:dyDescent="0.3">
      <c r="BI64" s="49">
        <v>5</v>
      </c>
    </row>
    <row r="69" spans="59:59" x14ac:dyDescent="0.3">
      <c r="BG69" s="1" t="s">
        <v>182</v>
      </c>
    </row>
    <row r="70" spans="59:59" x14ac:dyDescent="0.3">
      <c r="BG70" s="1" t="s">
        <v>181</v>
      </c>
    </row>
  </sheetData>
  <sheetProtection algorithmName="SHA-512" hashValue="ilNIkRkrWze12mt9pUocqH80FnJSZ71kaM5OA+ps5z5Fq6jXmYSbGcx8NgzjMD/aXbqRpycewB2w/YL3huN5hA==" saltValue="79T1MbCW8TV5unS4nYIkOg==" spinCount="100000" sheet="1" selectLockedCells="1"/>
  <mergeCells count="223">
    <mergeCell ref="AF17:AF18"/>
    <mergeCell ref="E44:G44"/>
    <mergeCell ref="AE36:AE37"/>
    <mergeCell ref="AF36:AF37"/>
    <mergeCell ref="E29:G29"/>
    <mergeCell ref="J28:M28"/>
    <mergeCell ref="J29:M29"/>
    <mergeCell ref="J30:M30"/>
    <mergeCell ref="AD30:AD31"/>
    <mergeCell ref="AE30:AE31"/>
    <mergeCell ref="J27:M27"/>
    <mergeCell ref="U30:U31"/>
    <mergeCell ref="V30:V31"/>
    <mergeCell ref="W30:W31"/>
    <mergeCell ref="X30:X31"/>
    <mergeCell ref="Y30:Y31"/>
    <mergeCell ref="W32:W33"/>
    <mergeCell ref="AB41:AG41"/>
    <mergeCell ref="J40:M40"/>
    <mergeCell ref="J41:M41"/>
    <mergeCell ref="J31:M31"/>
    <mergeCell ref="J32:M32"/>
    <mergeCell ref="X32:X33"/>
    <mergeCell ref="Y32:Y33"/>
    <mergeCell ref="AG28:AG29"/>
    <mergeCell ref="AH28:AH29"/>
    <mergeCell ref="AG32:AG33"/>
    <mergeCell ref="AH32:AH33"/>
    <mergeCell ref="AG34:AG35"/>
    <mergeCell ref="AH34:AH35"/>
    <mergeCell ref="AG36:AG37"/>
    <mergeCell ref="AH36:AH37"/>
    <mergeCell ref="V36:V37"/>
    <mergeCell ref="W36:W37"/>
    <mergeCell ref="X36:X37"/>
    <mergeCell ref="Y36:Y37"/>
    <mergeCell ref="Z36:Z37"/>
    <mergeCell ref="AA36:AA37"/>
    <mergeCell ref="AB36:AB37"/>
    <mergeCell ref="AC36:AC37"/>
    <mergeCell ref="AD36:AD37"/>
    <mergeCell ref="AF30:AF31"/>
    <mergeCell ref="AG30:AG31"/>
    <mergeCell ref="AH30:AH31"/>
    <mergeCell ref="Z30:Z31"/>
    <mergeCell ref="AA30:AA31"/>
    <mergeCell ref="AB30:AB31"/>
    <mergeCell ref="AC30:AC31"/>
    <mergeCell ref="AG17:AG18"/>
    <mergeCell ref="AH17:AH18"/>
    <mergeCell ref="AG19:AG20"/>
    <mergeCell ref="AH19:AH20"/>
    <mergeCell ref="Q46:Q47"/>
    <mergeCell ref="U28:U29"/>
    <mergeCell ref="V28:V29"/>
    <mergeCell ref="W28:W29"/>
    <mergeCell ref="X28:X29"/>
    <mergeCell ref="Y28:Y29"/>
    <mergeCell ref="Z28:Z29"/>
    <mergeCell ref="AA28:AA29"/>
    <mergeCell ref="AB28:AB29"/>
    <mergeCell ref="AC28:AC29"/>
    <mergeCell ref="AD28:AD29"/>
    <mergeCell ref="AE28:AE29"/>
    <mergeCell ref="AF28:AF29"/>
    <mergeCell ref="U32:U33"/>
    <mergeCell ref="U34:U35"/>
    <mergeCell ref="U36:U37"/>
    <mergeCell ref="V32:V33"/>
    <mergeCell ref="U38:AG38"/>
    <mergeCell ref="Y34:Y35"/>
    <mergeCell ref="Z34:Z35"/>
    <mergeCell ref="AH15:AH16"/>
    <mergeCell ref="U17:U18"/>
    <mergeCell ref="V17:V18"/>
    <mergeCell ref="W17:W18"/>
    <mergeCell ref="U19:U20"/>
    <mergeCell ref="V19:V20"/>
    <mergeCell ref="W19:W20"/>
    <mergeCell ref="X19:X20"/>
    <mergeCell ref="Y19:Y20"/>
    <mergeCell ref="Z19:Z20"/>
    <mergeCell ref="AA19:AA20"/>
    <mergeCell ref="AB19:AB20"/>
    <mergeCell ref="AC19:AC20"/>
    <mergeCell ref="AD19:AD20"/>
    <mergeCell ref="AE19:AE20"/>
    <mergeCell ref="AF19:AF20"/>
    <mergeCell ref="X17:X18"/>
    <mergeCell ref="Y17:Y18"/>
    <mergeCell ref="Z17:Z18"/>
    <mergeCell ref="AA17:AA18"/>
    <mergeCell ref="AB17:AB18"/>
    <mergeCell ref="AC17:AC18"/>
    <mergeCell ref="AD17:AD18"/>
    <mergeCell ref="AE17:AE18"/>
    <mergeCell ref="AD11:AD12"/>
    <mergeCell ref="AE11:AE12"/>
    <mergeCell ref="AF11:AF12"/>
    <mergeCell ref="AG11:AG12"/>
    <mergeCell ref="AH11:AH12"/>
    <mergeCell ref="B1:H1"/>
    <mergeCell ref="J1:O1"/>
    <mergeCell ref="B3:D3"/>
    <mergeCell ref="E3:H3"/>
    <mergeCell ref="J3:K3"/>
    <mergeCell ref="N3:O3"/>
    <mergeCell ref="B5:D5"/>
    <mergeCell ref="E5:H5"/>
    <mergeCell ref="E11:H11"/>
    <mergeCell ref="U11:U12"/>
    <mergeCell ref="V11:V12"/>
    <mergeCell ref="W11:W12"/>
    <mergeCell ref="X11:X12"/>
    <mergeCell ref="Y11:Y12"/>
    <mergeCell ref="Z11:Z12"/>
    <mergeCell ref="AA11:AA12"/>
    <mergeCell ref="AB11:AB12"/>
    <mergeCell ref="AC11:AC12"/>
    <mergeCell ref="N15:N16"/>
    <mergeCell ref="O15:O16"/>
    <mergeCell ref="AH13:AH14"/>
    <mergeCell ref="B12:D12"/>
    <mergeCell ref="E12:H12"/>
    <mergeCell ref="AG13:AG14"/>
    <mergeCell ref="U3:Y3"/>
    <mergeCell ref="Z3:AA3"/>
    <mergeCell ref="B4:D4"/>
    <mergeCell ref="E4:H4"/>
    <mergeCell ref="B6:D6"/>
    <mergeCell ref="E6:H6"/>
    <mergeCell ref="U7:AH7"/>
    <mergeCell ref="B9:D9"/>
    <mergeCell ref="E9:H9"/>
    <mergeCell ref="B10:D10"/>
    <mergeCell ref="E10:H10"/>
    <mergeCell ref="B7:D7"/>
    <mergeCell ref="E7:H7"/>
    <mergeCell ref="J6:M6"/>
    <mergeCell ref="B8:D8"/>
    <mergeCell ref="E8:H8"/>
    <mergeCell ref="J7:M7"/>
    <mergeCell ref="B11:D11"/>
    <mergeCell ref="N13:N14"/>
    <mergeCell ref="O13:O14"/>
    <mergeCell ref="R13:R14"/>
    <mergeCell ref="N11:N12"/>
    <mergeCell ref="O11:O12"/>
    <mergeCell ref="R11:R12"/>
    <mergeCell ref="U13:U14"/>
    <mergeCell ref="B13:D13"/>
    <mergeCell ref="E13:H13"/>
    <mergeCell ref="B14:D14"/>
    <mergeCell ref="E14:H14"/>
    <mergeCell ref="AB13:AB14"/>
    <mergeCell ref="AC13:AC14"/>
    <mergeCell ref="AD13:AD14"/>
    <mergeCell ref="AE13:AE14"/>
    <mergeCell ref="AF13:AF14"/>
    <mergeCell ref="V13:V14"/>
    <mergeCell ref="W13:W14"/>
    <mergeCell ref="X13:X14"/>
    <mergeCell ref="Y13:Y14"/>
    <mergeCell ref="Z13:Z14"/>
    <mergeCell ref="AA13:AA14"/>
    <mergeCell ref="AG15:AG16"/>
    <mergeCell ref="R15:R16"/>
    <mergeCell ref="U15:U16"/>
    <mergeCell ref="V15:V16"/>
    <mergeCell ref="W15:W16"/>
    <mergeCell ref="X15:X16"/>
    <mergeCell ref="Y15:Y16"/>
    <mergeCell ref="Z15:Z16"/>
    <mergeCell ref="AA15:AA16"/>
    <mergeCell ref="AB15:AB16"/>
    <mergeCell ref="AA34:AA35"/>
    <mergeCell ref="AB34:AB35"/>
    <mergeCell ref="AC34:AC35"/>
    <mergeCell ref="B17:D17"/>
    <mergeCell ref="E17:H17"/>
    <mergeCell ref="U24:AH24"/>
    <mergeCell ref="J26:M26"/>
    <mergeCell ref="B15:D15"/>
    <mergeCell ref="E15:H15"/>
    <mergeCell ref="B16:D16"/>
    <mergeCell ref="E16:H16"/>
    <mergeCell ref="U21:AG21"/>
    <mergeCell ref="N17:N18"/>
    <mergeCell ref="N19:N20"/>
    <mergeCell ref="O17:O18"/>
    <mergeCell ref="O19:O20"/>
    <mergeCell ref="R17:R18"/>
    <mergeCell ref="R19:R20"/>
    <mergeCell ref="J24:M24"/>
    <mergeCell ref="J25:M25"/>
    <mergeCell ref="AC15:AC16"/>
    <mergeCell ref="AD15:AD16"/>
    <mergeCell ref="AE15:AE16"/>
    <mergeCell ref="AF15:AF16"/>
    <mergeCell ref="J45:M45"/>
    <mergeCell ref="J44:M44"/>
    <mergeCell ref="J34:M34"/>
    <mergeCell ref="J35:M35"/>
    <mergeCell ref="J36:M36"/>
    <mergeCell ref="J37:M37"/>
    <mergeCell ref="J38:M38"/>
    <mergeCell ref="J39:M39"/>
    <mergeCell ref="AF32:AF33"/>
    <mergeCell ref="V34:V35"/>
    <mergeCell ref="W34:W35"/>
    <mergeCell ref="X34:X35"/>
    <mergeCell ref="AD34:AD35"/>
    <mergeCell ref="AE34:AE35"/>
    <mergeCell ref="AF34:AF35"/>
    <mergeCell ref="J42:M42"/>
    <mergeCell ref="J43:M43"/>
    <mergeCell ref="Z32:Z33"/>
    <mergeCell ref="AA32:AA33"/>
    <mergeCell ref="AB32:AB33"/>
    <mergeCell ref="AC32:AC33"/>
    <mergeCell ref="AD32:AD33"/>
    <mergeCell ref="AE32:AE33"/>
    <mergeCell ref="J33:M33"/>
  </mergeCells>
  <conditionalFormatting sqref="E8 E11:E14 E3:E4 E6">
    <cfRule type="cellIs" dxfId="151" priority="80" operator="greaterThan">
      <formula>0</formula>
    </cfRule>
  </conditionalFormatting>
  <conditionalFormatting sqref="E15:E17">
    <cfRule type="cellIs" dxfId="150" priority="78" operator="greaterThan">
      <formula>0</formula>
    </cfRule>
  </conditionalFormatting>
  <conditionalFormatting sqref="U14 W14:AB14 AD14:AF14 U13:AF13 U15:AF15 U17:AF17 U19:W19 Y19 AC19 AE19:AF19 U30:AF30 AE32:AF32 AE36:AF36 AE34:AF34 U9:AF9 U11:AF11 U26:AF26 U28:AF28 AF10 AF27">
    <cfRule type="cellIs" dxfId="149" priority="77" operator="equal">
      <formula>0</formula>
    </cfRule>
  </conditionalFormatting>
  <conditionalFormatting sqref="K4">
    <cfRule type="expression" dxfId="148" priority="75">
      <formula>$K$4&gt;3200</formula>
    </cfRule>
  </conditionalFormatting>
  <conditionalFormatting sqref="E7">
    <cfRule type="cellIs" dxfId="147" priority="74" operator="greaterThan">
      <formula>0</formula>
    </cfRule>
  </conditionalFormatting>
  <conditionalFormatting sqref="C30">
    <cfRule type="expression" dxfId="146" priority="81">
      <formula>$C$30=$BG$43</formula>
    </cfRule>
    <cfRule type="expression" dxfId="145" priority="82">
      <formula>$C$30=$BG$44</formula>
    </cfRule>
  </conditionalFormatting>
  <conditionalFormatting sqref="C32">
    <cfRule type="expression" dxfId="144" priority="84">
      <formula>$C$32=$BG$47</formula>
    </cfRule>
  </conditionalFormatting>
  <conditionalFormatting sqref="H31">
    <cfRule type="expression" dxfId="143" priority="73">
      <formula>$H$31&gt;60</formula>
    </cfRule>
  </conditionalFormatting>
  <conditionalFormatting sqref="AH21 L14:M14 X13:AH13 E24 F24:H28 K4:K5 H29 X30:AH30 U28:AG28 S28:S44 L12:M12 M16 M18 O25:R44 U15:AH15 U17:AH17 U19:W19 Y19 AC19 AE19:AH19 T26:AH26 AE32:AH32 AE36:AH36 AE34:AH34 S12 N13:R13 S46 R46:R47 R21 L9:AH9 L11:R11 S14 L15:R15 S16 L17:R17 S18 L19:R19 T45:T46 S20 T12:T21 T11:AH11 S10:T10 T27:T38 O10 AF10 AF27 AH10 AH27">
    <cfRule type="expression" dxfId="142" priority="85">
      <formula>$E$4=0</formula>
    </cfRule>
  </conditionalFormatting>
  <conditionalFormatting sqref="AH41">
    <cfRule type="expression" dxfId="141" priority="86">
      <formula>$E$4=0</formula>
    </cfRule>
  </conditionalFormatting>
  <conditionalFormatting sqref="K5">
    <cfRule type="expression" dxfId="140" priority="87">
      <formula>AND(OR($K$5&lt;600,$K$5&gt;1200),$E$4&gt;0)</formula>
    </cfRule>
  </conditionalFormatting>
  <conditionalFormatting sqref="E10">
    <cfRule type="cellIs" dxfId="139" priority="91" operator="greaterThan">
      <formula>0</formula>
    </cfRule>
  </conditionalFormatting>
  <conditionalFormatting sqref="E4:H4">
    <cfRule type="expression" dxfId="138" priority="72">
      <formula>$E$4&gt;5000</formula>
    </cfRule>
  </conditionalFormatting>
  <conditionalFormatting sqref="U31 W31:AB31 AD31:AF31">
    <cfRule type="cellIs" dxfId="137" priority="70" operator="equal">
      <formula>0</formula>
    </cfRule>
  </conditionalFormatting>
  <conditionalFormatting sqref="AH38">
    <cfRule type="expression" dxfId="136" priority="71">
      <formula>$E$4=0</formula>
    </cfRule>
  </conditionalFormatting>
  <conditionalFormatting sqref="AH28">
    <cfRule type="expression" dxfId="135" priority="69">
      <formula>$E$4=0</formula>
    </cfRule>
  </conditionalFormatting>
  <conditionalFormatting sqref="E5">
    <cfRule type="cellIs" dxfId="134" priority="65" operator="greaterThan">
      <formula>0</formula>
    </cfRule>
  </conditionalFormatting>
  <conditionalFormatting sqref="E5:H5">
    <cfRule type="expression" dxfId="133" priority="64">
      <formula>$E$5&gt;5000</formula>
    </cfRule>
  </conditionalFormatting>
  <conditionalFormatting sqref="M4">
    <cfRule type="expression" dxfId="132" priority="61">
      <formula>$K$4&gt;3200</formula>
    </cfRule>
  </conditionalFormatting>
  <conditionalFormatting sqref="M4:M5">
    <cfRule type="expression" dxfId="131" priority="62">
      <formula>$E$4=0</formula>
    </cfRule>
  </conditionalFormatting>
  <conditionalFormatting sqref="M5">
    <cfRule type="expression" dxfId="130" priority="63">
      <formula>AND(OR($M$5&lt;600,$M$5&gt;1200),$E$4&gt;0)</formula>
    </cfRule>
  </conditionalFormatting>
  <conditionalFormatting sqref="E9">
    <cfRule type="cellIs" dxfId="129" priority="60" operator="greaterThan">
      <formula>0</formula>
    </cfRule>
  </conditionalFormatting>
  <conditionalFormatting sqref="D20:G20">
    <cfRule type="expression" dxfId="128" priority="970">
      <formula>$D$20=#REF!</formula>
    </cfRule>
  </conditionalFormatting>
  <conditionalFormatting sqref="AD19">
    <cfRule type="cellIs" dxfId="127" priority="46" operator="equal">
      <formula>0</formula>
    </cfRule>
  </conditionalFormatting>
  <conditionalFormatting sqref="AD19">
    <cfRule type="expression" dxfId="126" priority="47">
      <formula>$E$4=0</formula>
    </cfRule>
  </conditionalFormatting>
  <conditionalFormatting sqref="X19">
    <cfRule type="cellIs" dxfId="125" priority="50" operator="equal">
      <formula>0</formula>
    </cfRule>
  </conditionalFormatting>
  <conditionalFormatting sqref="X19">
    <cfRule type="expression" dxfId="124" priority="51">
      <formula>$E$4=0</formula>
    </cfRule>
  </conditionalFormatting>
  <conditionalFormatting sqref="AA19">
    <cfRule type="cellIs" dxfId="123" priority="48" operator="equal">
      <formula>0</formula>
    </cfRule>
  </conditionalFormatting>
  <conditionalFormatting sqref="AA19">
    <cfRule type="expression" dxfId="122" priority="49">
      <formula>$E$4=0</formula>
    </cfRule>
  </conditionalFormatting>
  <conditionalFormatting sqref="Z19">
    <cfRule type="cellIs" dxfId="121" priority="44" operator="equal">
      <formula>0</formula>
    </cfRule>
  </conditionalFormatting>
  <conditionalFormatting sqref="Z19">
    <cfRule type="expression" dxfId="120" priority="45">
      <formula>$E$4=0</formula>
    </cfRule>
  </conditionalFormatting>
  <conditionalFormatting sqref="AB19">
    <cfRule type="cellIs" dxfId="119" priority="42" operator="equal">
      <formula>0</formula>
    </cfRule>
  </conditionalFormatting>
  <conditionalFormatting sqref="AB19">
    <cfRule type="expression" dxfId="118" priority="43">
      <formula>$E$4=0</formula>
    </cfRule>
  </conditionalFormatting>
  <conditionalFormatting sqref="U32:AD32 U34:AD34 U36:W36">
    <cfRule type="cellIs" dxfId="117" priority="40" operator="equal">
      <formula>0</formula>
    </cfRule>
  </conditionalFormatting>
  <conditionalFormatting sqref="U32:AD32 U34:AD34 U36:W36">
    <cfRule type="expression" dxfId="116" priority="41">
      <formula>$E$4=0</formula>
    </cfRule>
  </conditionalFormatting>
  <conditionalFormatting sqref="AD36">
    <cfRule type="cellIs" dxfId="115" priority="34" operator="equal">
      <formula>0</formula>
    </cfRule>
  </conditionalFormatting>
  <conditionalFormatting sqref="AD36">
    <cfRule type="expression" dxfId="114" priority="35">
      <formula>$E$4=0</formula>
    </cfRule>
  </conditionalFormatting>
  <conditionalFormatting sqref="X36">
    <cfRule type="cellIs" dxfId="113" priority="38" operator="equal">
      <formula>0</formula>
    </cfRule>
  </conditionalFormatting>
  <conditionalFormatting sqref="X36">
    <cfRule type="expression" dxfId="112" priority="39">
      <formula>$E$4=0</formula>
    </cfRule>
  </conditionalFormatting>
  <conditionalFormatting sqref="AA36">
    <cfRule type="cellIs" dxfId="111" priority="36" operator="equal">
      <formula>0</formula>
    </cfRule>
  </conditionalFormatting>
  <conditionalFormatting sqref="AA36">
    <cfRule type="expression" dxfId="110" priority="37">
      <formula>$E$4=0</formula>
    </cfRule>
  </conditionalFormatting>
  <conditionalFormatting sqref="Y36">
    <cfRule type="cellIs" dxfId="109" priority="28" operator="equal">
      <formula>0</formula>
    </cfRule>
  </conditionalFormatting>
  <conditionalFormatting sqref="Y36">
    <cfRule type="expression" dxfId="108" priority="29">
      <formula>$E$4=0</formula>
    </cfRule>
  </conditionalFormatting>
  <conditionalFormatting sqref="AC36">
    <cfRule type="cellIs" dxfId="107" priority="26" operator="equal">
      <formula>0</formula>
    </cfRule>
  </conditionalFormatting>
  <conditionalFormatting sqref="AC36">
    <cfRule type="expression" dxfId="106" priority="27">
      <formula>$E$4=0</formula>
    </cfRule>
  </conditionalFormatting>
  <conditionalFormatting sqref="Z36">
    <cfRule type="cellIs" dxfId="105" priority="24" operator="equal">
      <formula>0</formula>
    </cfRule>
  </conditionalFormatting>
  <conditionalFormatting sqref="Z36">
    <cfRule type="expression" dxfId="104" priority="25">
      <formula>$E$4=0</formula>
    </cfRule>
  </conditionalFormatting>
  <conditionalFormatting sqref="AB36">
    <cfRule type="cellIs" dxfId="103" priority="22" operator="equal">
      <formula>0</formula>
    </cfRule>
  </conditionalFormatting>
  <conditionalFormatting sqref="AB36">
    <cfRule type="expression" dxfId="102" priority="23">
      <formula>$E$4=0</formula>
    </cfRule>
  </conditionalFormatting>
  <conditionalFormatting sqref="C45">
    <cfRule type="expression" dxfId="101" priority="17">
      <formula>$C$45=$BG$43</formula>
    </cfRule>
    <cfRule type="expression" dxfId="100" priority="18">
      <formula>$C$45=$BG$44</formula>
    </cfRule>
  </conditionalFormatting>
  <conditionalFormatting sqref="E39 H44 F39:H43">
    <cfRule type="expression" dxfId="99" priority="20">
      <formula>$E$4=0</formula>
    </cfRule>
  </conditionalFormatting>
  <conditionalFormatting sqref="D35:G35">
    <cfRule type="expression" dxfId="98" priority="21">
      <formula>$D$20=#REF!</formula>
    </cfRule>
  </conditionalFormatting>
  <conditionalFormatting sqref="C47">
    <cfRule type="expression" dxfId="97" priority="14">
      <formula>$C$47=$BG$47</formula>
    </cfRule>
  </conditionalFormatting>
  <conditionalFormatting sqref="T7:AH21">
    <cfRule type="expression" dxfId="96" priority="10">
      <formula>$Z$3&lt;&gt;$BP$21</formula>
    </cfRule>
  </conditionalFormatting>
  <conditionalFormatting sqref="R1:AH2 R4:AH6 R3:S3 U3:AH3 S7:AH7 R8:AH44 S45:AH45 R46:AH47">
    <cfRule type="expression" dxfId="95" priority="9">
      <formula>$N$3=$BN$9</formula>
    </cfRule>
  </conditionalFormatting>
  <conditionalFormatting sqref="T3">
    <cfRule type="expression" dxfId="94" priority="8">
      <formula>$N$3=$BN$9</formula>
    </cfRule>
  </conditionalFormatting>
  <conditionalFormatting sqref="T1:AH47">
    <cfRule type="expression" dxfId="93" priority="7">
      <formula>$N$3=$BN$10</formula>
    </cfRule>
  </conditionalFormatting>
  <conditionalFormatting sqref="R7">
    <cfRule type="expression" dxfId="92" priority="6">
      <formula>$N$3=$BN$9</formula>
    </cfRule>
  </conditionalFormatting>
  <conditionalFormatting sqref="R7:R21 R47">
    <cfRule type="expression" dxfId="91" priority="5">
      <formula>$N$3=$BN$11</formula>
    </cfRule>
  </conditionalFormatting>
  <conditionalFormatting sqref="T24:AH38">
    <cfRule type="expression" dxfId="90" priority="4">
      <formula>$Z$3=$BP$21</formula>
    </cfRule>
  </conditionalFormatting>
  <conditionalFormatting sqref="H46">
    <cfRule type="expression" dxfId="89" priority="3">
      <formula>$H$46&gt;60</formula>
    </cfRule>
  </conditionalFormatting>
  <conditionalFormatting sqref="O45:R45">
    <cfRule type="expression" dxfId="88" priority="2">
      <formula>$E$4=0</formula>
    </cfRule>
  </conditionalFormatting>
  <conditionalFormatting sqref="R45">
    <cfRule type="expression" dxfId="87" priority="1">
      <formula>$N$3=$BN$9</formula>
    </cfRule>
  </conditionalFormatting>
  <dataValidations count="10">
    <dataValidation type="list" allowBlank="1" showInputMessage="1" showErrorMessage="1" sqref="Z3">
      <formula1>$BP$21:$BP$26</formula1>
    </dataValidation>
    <dataValidation type="list" allowBlank="1" showInputMessage="1" showErrorMessage="1" sqref="E7">
      <formula1>$BO$6:$BO$7</formula1>
    </dataValidation>
    <dataValidation type="list" allowBlank="1" showInputMessage="1" showErrorMessage="1" sqref="E8">
      <formula1>$BG$50:$BG$57</formula1>
    </dataValidation>
    <dataValidation type="list" allowBlank="1" showInputMessage="1" showErrorMessage="1" sqref="E6">
      <formula1>$BI$59:$BI$63</formula1>
    </dataValidation>
    <dataValidation type="whole" allowBlank="1" showInputMessage="1" showErrorMessage="1" sqref="E16">
      <formula1>0</formula1>
      <formula2>20</formula2>
    </dataValidation>
    <dataValidation type="list" allowBlank="1" showInputMessage="1" showErrorMessage="1" sqref="E13">
      <formula1>$BG$36:$BG$39</formula1>
    </dataValidation>
    <dataValidation type="list" allowBlank="1" showInputMessage="1" showErrorMessage="1" sqref="C24:C28 C39:C43">
      <formula1>$BG$27:$BG$29</formula1>
    </dataValidation>
    <dataValidation type="list" allowBlank="1" showInputMessage="1" showErrorMessage="1" sqref="E17 E14:E15 E11:E12">
      <formula1>$BG$23:$BG$24</formula1>
    </dataValidation>
    <dataValidation type="list" allowBlank="1" showInputMessage="1" showErrorMessage="1" sqref="E9:H10">
      <formula1>$BI$61:$BI$64</formula1>
    </dataValidation>
    <dataValidation type="list" allowBlank="1" showInputMessage="1" showErrorMessage="1" sqref="N3:O3">
      <formula1>$BN$9:$BN$11</formula1>
    </dataValidation>
  </dataValidations>
  <printOptions horizontalCentered="1" verticalCentered="1"/>
  <pageMargins left="0.11811023622047245" right="0.11811023622047245" top="0.74803149606299213" bottom="0.74803149606299213" header="0.31496062992125984" footer="0.31496062992125984"/>
  <pageSetup paperSize="9" scale="28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6" id="{38478EFD-C577-4F99-B786-5E0EF8A8E3A4}">
            <x14:iconSet iconSet="3Symbols2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D30:G30</xm:sqref>
        </x14:conditionalFormatting>
        <x14:conditionalFormatting xmlns:xm="http://schemas.microsoft.com/office/excel/2006/main">
          <x14:cfRule type="iconSet" priority="16" id="{6D416614-45BA-49BF-9D1A-DA1D336814A1}">
            <x14:iconSet iconSet="3Symbols2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D45:G45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1"/>
    <pageSetUpPr fitToPage="1"/>
  </sheetPr>
  <dimension ref="A1:BN68"/>
  <sheetViews>
    <sheetView zoomScale="70" zoomScaleNormal="70" zoomScalePageLayoutView="110" workbookViewId="0">
      <selection activeCell="E3" sqref="E3:H3"/>
    </sheetView>
  </sheetViews>
  <sheetFormatPr defaultColWidth="8.88671875" defaultRowHeight="14.4" x14ac:dyDescent="0.3"/>
  <cols>
    <col min="1" max="1" width="1.77734375" style="1" customWidth="1"/>
    <col min="2" max="3" width="45.77734375" style="1" customWidth="1"/>
    <col min="4" max="8" width="14.77734375" style="1" customWidth="1"/>
    <col min="9" max="9" width="1.77734375" style="1" customWidth="1"/>
    <col min="10" max="10" width="35.77734375" style="1" customWidth="1"/>
    <col min="11" max="15" width="14.77734375" style="1" customWidth="1"/>
    <col min="16" max="16" width="1.77734375" style="5" customWidth="1"/>
    <col min="17" max="17" width="14.77734375" style="5" hidden="1" customWidth="1"/>
    <col min="18" max="18" width="14.6640625" style="226" customWidth="1"/>
    <col min="19" max="19" width="1.77734375" style="5" customWidth="1"/>
    <col min="20" max="20" width="24.77734375" style="318" customWidth="1"/>
    <col min="21" max="32" width="11.77734375" style="1" customWidth="1"/>
    <col min="33" max="34" width="14.77734375" style="1" customWidth="1"/>
    <col min="35" max="35" width="8.44140625" style="1" hidden="1" customWidth="1"/>
    <col min="36" max="36" width="14.77734375" style="1" hidden="1" customWidth="1"/>
    <col min="37" max="38" width="13" style="1" hidden="1" customWidth="1"/>
    <col min="39" max="39" width="11.21875" style="1" hidden="1" customWidth="1"/>
    <col min="40" max="40" width="11.44140625" style="1" hidden="1" customWidth="1"/>
    <col min="41" max="41" width="11.5546875" style="1" hidden="1" customWidth="1"/>
    <col min="42" max="42" width="12.109375" style="1" hidden="1" customWidth="1"/>
    <col min="43" max="43" width="12.21875" style="1" hidden="1" customWidth="1"/>
    <col min="44" max="45" width="11" style="1" hidden="1" customWidth="1"/>
    <col min="46" max="46" width="12.6640625" style="1" hidden="1" customWidth="1"/>
    <col min="47" max="47" width="11.88671875" style="1" hidden="1" customWidth="1"/>
    <col min="48" max="48" width="10.109375" style="1" hidden="1" customWidth="1"/>
    <col min="49" max="54" width="8.88671875" style="1" hidden="1" customWidth="1"/>
    <col min="55" max="55" width="11.21875" style="1" hidden="1" customWidth="1"/>
    <col min="56" max="56" width="10.109375" style="1" hidden="1" customWidth="1"/>
    <col min="57" max="57" width="23" style="1" hidden="1" customWidth="1"/>
    <col min="58" max="58" width="16.6640625" style="1" hidden="1" customWidth="1"/>
    <col min="59" max="59" width="27.21875" style="1" hidden="1" customWidth="1"/>
    <col min="60" max="60" width="24.33203125" style="1" hidden="1" customWidth="1"/>
    <col min="61" max="61" width="24" style="1" hidden="1" customWidth="1"/>
    <col min="62" max="62" width="8.88671875" style="1" hidden="1" customWidth="1"/>
    <col min="63" max="69" width="0" style="1" hidden="1" customWidth="1"/>
    <col min="70" max="16384" width="8.88671875" style="1"/>
  </cols>
  <sheetData>
    <row r="1" spans="1:66" ht="25.05" customHeight="1" x14ac:dyDescent="0.3">
      <c r="B1" s="449" t="s">
        <v>110</v>
      </c>
      <c r="C1" s="449"/>
      <c r="D1" s="449"/>
      <c r="E1" s="449"/>
      <c r="F1" s="449"/>
      <c r="G1" s="449"/>
      <c r="H1" s="449"/>
      <c r="I1" s="152"/>
      <c r="J1" s="449" t="s">
        <v>111</v>
      </c>
      <c r="K1" s="449"/>
      <c r="L1" s="449"/>
      <c r="M1" s="449"/>
      <c r="N1" s="449"/>
      <c r="O1" s="449"/>
    </row>
    <row r="2" spans="1:66" ht="25.05" customHeight="1" thickBot="1" x14ac:dyDescent="0.35"/>
    <row r="3" spans="1:66" ht="25.05" customHeight="1" x14ac:dyDescent="0.3">
      <c r="A3" s="6"/>
      <c r="B3" s="452" t="s">
        <v>127</v>
      </c>
      <c r="C3" s="453"/>
      <c r="D3" s="453"/>
      <c r="E3" s="493">
        <v>2600</v>
      </c>
      <c r="F3" s="459"/>
      <c r="G3" s="459"/>
      <c r="H3" s="460"/>
      <c r="I3" s="48"/>
      <c r="J3" s="470" t="s">
        <v>281</v>
      </c>
      <c r="K3" s="472"/>
      <c r="N3" s="475" t="s">
        <v>489</v>
      </c>
      <c r="O3" s="476"/>
      <c r="P3" s="106"/>
      <c r="Q3" s="106"/>
      <c r="R3" s="3"/>
      <c r="S3" s="3"/>
      <c r="T3" s="3"/>
      <c r="U3" s="414" t="s">
        <v>448</v>
      </c>
      <c r="V3" s="414"/>
      <c r="W3" s="414"/>
      <c r="X3" s="414"/>
      <c r="Y3" s="414"/>
      <c r="Z3" s="413" t="s">
        <v>449</v>
      </c>
      <c r="AA3" s="413"/>
      <c r="AB3" s="408"/>
      <c r="AC3" s="408"/>
      <c r="AD3" s="48"/>
      <c r="AE3" s="48"/>
      <c r="AF3" s="48"/>
      <c r="AG3" s="48"/>
      <c r="AH3" s="48"/>
      <c r="AP3" s="245" t="s">
        <v>449</v>
      </c>
    </row>
    <row r="4" spans="1:66" ht="25.05" customHeight="1" x14ac:dyDescent="0.3">
      <c r="B4" s="454" t="s">
        <v>126</v>
      </c>
      <c r="C4" s="455"/>
      <c r="D4" s="455"/>
      <c r="E4" s="492">
        <v>1000</v>
      </c>
      <c r="F4" s="461"/>
      <c r="G4" s="461"/>
      <c r="H4" s="462"/>
      <c r="J4" s="21" t="s">
        <v>19</v>
      </c>
      <c r="K4" s="298">
        <f>IF(E8=BE6,E3-77,E3-55)</f>
        <v>2523</v>
      </c>
      <c r="N4" s="6"/>
      <c r="O4" s="6"/>
      <c r="R4" s="354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</row>
    <row r="5" spans="1:66" ht="25.05" customHeight="1" thickBot="1" x14ac:dyDescent="0.35">
      <c r="B5" s="454" t="s">
        <v>475</v>
      </c>
      <c r="C5" s="455"/>
      <c r="D5" s="455"/>
      <c r="E5" s="494">
        <v>0</v>
      </c>
      <c r="F5" s="443"/>
      <c r="G5" s="443"/>
      <c r="H5" s="444"/>
      <c r="J5" s="153" t="s">
        <v>20</v>
      </c>
      <c r="K5" s="299">
        <f>ROUNDDOWN(IF(E9=BE9,(E4-10-10-2)/2,
IF(E9=BE10,(E4-10-10-2-2-10)/4,0)),0)</f>
        <v>489</v>
      </c>
      <c r="L5" s="5"/>
      <c r="M5" s="5"/>
      <c r="N5" s="5"/>
      <c r="O5" s="5"/>
      <c r="R5" s="90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K5" s="144" t="s">
        <v>274</v>
      </c>
      <c r="AL5" s="144"/>
      <c r="AM5" s="144"/>
      <c r="AN5" s="189">
        <v>5000</v>
      </c>
      <c r="AO5" s="189"/>
      <c r="AP5" s="189"/>
      <c r="AQ5" s="189"/>
      <c r="AR5" s="189"/>
      <c r="AS5" s="189"/>
      <c r="AT5" s="189"/>
      <c r="AU5" s="189"/>
      <c r="AV5" s="189"/>
      <c r="AW5" s="189"/>
      <c r="AX5" s="190"/>
      <c r="AY5" s="190"/>
      <c r="AZ5" s="190"/>
      <c r="BA5" s="190"/>
      <c r="BB5" s="190"/>
      <c r="BC5" s="190"/>
      <c r="BE5" s="1" t="s">
        <v>95</v>
      </c>
      <c r="BG5" s="1">
        <f>IF(E7=AK47,O15*Цены!I69,
IF(E7=AK48,O15*Цены!I70,
IF(OR(E7=AK53,E7=AK54),O15*Цены!I75,Цены!I71)))</f>
        <v>0</v>
      </c>
      <c r="BH5" s="1" t="s">
        <v>485</v>
      </c>
      <c r="BI5" s="1" t="s">
        <v>255</v>
      </c>
      <c r="BJ5" s="1">
        <f>IF(E6=BH5,9,8)</f>
        <v>8</v>
      </c>
    </row>
    <row r="6" spans="1:66" ht="25.05" customHeight="1" thickBot="1" x14ac:dyDescent="0.35">
      <c r="B6" s="454" t="s">
        <v>254</v>
      </c>
      <c r="C6" s="455"/>
      <c r="D6" s="455"/>
      <c r="E6" s="494" t="s">
        <v>486</v>
      </c>
      <c r="F6" s="443"/>
      <c r="G6" s="443"/>
      <c r="H6" s="444"/>
      <c r="J6" s="6"/>
      <c r="K6" s="6"/>
      <c r="L6" s="6"/>
      <c r="M6" s="6"/>
      <c r="N6" s="6"/>
      <c r="O6" s="6"/>
      <c r="R6" s="354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K6" s="144" t="s">
        <v>275</v>
      </c>
      <c r="AL6" s="144"/>
      <c r="AM6" s="144"/>
      <c r="AN6" s="144">
        <v>5075</v>
      </c>
      <c r="AO6" s="189"/>
      <c r="AP6" s="144"/>
      <c r="AQ6" s="144"/>
      <c r="AR6" s="144"/>
      <c r="AS6" s="144"/>
      <c r="AT6" s="144"/>
      <c r="AU6" s="144"/>
      <c r="AV6" s="144"/>
      <c r="AW6" s="144"/>
      <c r="AX6" s="190"/>
      <c r="AY6" s="190"/>
      <c r="AZ6" s="190"/>
      <c r="BA6" s="190"/>
      <c r="BB6" s="190"/>
      <c r="BC6" s="190"/>
      <c r="BE6" s="1" t="s">
        <v>160</v>
      </c>
      <c r="BG6" s="1">
        <f>IF(E7=AK47,O15*Цены!I45,
IF(E7=AK48,O15*Цены!I46,
IF(E7=AK49,O15*Цены!I47,
IF(E7=AK50,O15*Цены!I48,O15*Цены!I51))))</f>
        <v>0</v>
      </c>
      <c r="BH6" s="1" t="s">
        <v>486</v>
      </c>
      <c r="BI6" s="1" t="s">
        <v>271</v>
      </c>
    </row>
    <row r="7" spans="1:66" ht="25.05" customHeight="1" x14ac:dyDescent="0.3">
      <c r="B7" s="454" t="s">
        <v>128</v>
      </c>
      <c r="C7" s="455"/>
      <c r="D7" s="455"/>
      <c r="E7" s="495" t="s">
        <v>243</v>
      </c>
      <c r="F7" s="496"/>
      <c r="G7" s="496"/>
      <c r="H7" s="497"/>
      <c r="J7" s="511" t="s">
        <v>188</v>
      </c>
      <c r="K7" s="512"/>
      <c r="L7" s="512"/>
      <c r="M7" s="512"/>
      <c r="N7" s="356"/>
      <c r="O7" s="138"/>
      <c r="P7" s="345"/>
      <c r="Q7" s="345"/>
      <c r="R7" s="262"/>
      <c r="S7" s="198"/>
      <c r="T7" s="327"/>
      <c r="U7" s="426" t="s">
        <v>106</v>
      </c>
      <c r="V7" s="426"/>
      <c r="W7" s="426"/>
      <c r="X7" s="426"/>
      <c r="Y7" s="426"/>
      <c r="Z7" s="426"/>
      <c r="AA7" s="426"/>
      <c r="AB7" s="426"/>
      <c r="AC7" s="426"/>
      <c r="AD7" s="426"/>
      <c r="AE7" s="426"/>
      <c r="AF7" s="426"/>
      <c r="AG7" s="426"/>
      <c r="AH7" s="427"/>
      <c r="AI7" s="3" t="s">
        <v>283</v>
      </c>
      <c r="AJ7" s="3"/>
      <c r="AK7" s="189" t="s">
        <v>276</v>
      </c>
      <c r="AL7" s="189"/>
      <c r="AM7" s="189"/>
      <c r="AN7" s="144">
        <v>5400</v>
      </c>
      <c r="AO7" s="189"/>
      <c r="AP7" s="144"/>
      <c r="AQ7" s="144"/>
      <c r="AR7" s="144"/>
      <c r="AS7" s="144"/>
      <c r="AT7" s="144"/>
      <c r="AU7" s="144"/>
      <c r="AV7" s="144"/>
      <c r="AW7" s="144"/>
      <c r="AX7" s="190"/>
      <c r="AY7" s="190"/>
      <c r="AZ7" s="190"/>
      <c r="BA7" s="190"/>
      <c r="BB7" s="190"/>
      <c r="BC7" s="190"/>
      <c r="BG7" s="10"/>
    </row>
    <row r="8" spans="1:66" ht="25.05" customHeight="1" x14ac:dyDescent="0.3">
      <c r="B8" s="513" t="s">
        <v>129</v>
      </c>
      <c r="C8" s="514"/>
      <c r="D8" s="514"/>
      <c r="E8" s="498" t="s">
        <v>160</v>
      </c>
      <c r="F8" s="499"/>
      <c r="G8" s="499"/>
      <c r="H8" s="500"/>
      <c r="J8" s="340" t="s">
        <v>0</v>
      </c>
      <c r="K8" s="341" t="s">
        <v>1</v>
      </c>
      <c r="L8" s="341" t="s">
        <v>8</v>
      </c>
      <c r="M8" s="341" t="s">
        <v>10</v>
      </c>
      <c r="N8" s="209" t="s">
        <v>107</v>
      </c>
      <c r="O8" s="243" t="s">
        <v>24</v>
      </c>
      <c r="P8" s="143"/>
      <c r="Q8" s="143"/>
      <c r="R8" s="263" t="s">
        <v>25</v>
      </c>
      <c r="S8" s="143"/>
      <c r="T8" s="352"/>
      <c r="U8" s="97">
        <v>1000</v>
      </c>
      <c r="V8" s="97">
        <v>1250</v>
      </c>
      <c r="W8" s="97">
        <v>1800</v>
      </c>
      <c r="X8" s="97">
        <v>2000</v>
      </c>
      <c r="Y8" s="97">
        <v>2500</v>
      </c>
      <c r="Z8" s="97">
        <v>2700</v>
      </c>
      <c r="AA8" s="97">
        <v>3000</v>
      </c>
      <c r="AB8" s="97">
        <v>3600</v>
      </c>
      <c r="AC8" s="97">
        <v>3750</v>
      </c>
      <c r="AD8" s="97">
        <v>4000</v>
      </c>
      <c r="AE8" s="97">
        <v>5000</v>
      </c>
      <c r="AF8" s="97">
        <v>5400</v>
      </c>
      <c r="AG8" s="209" t="s">
        <v>107</v>
      </c>
      <c r="AH8" s="53" t="s">
        <v>25</v>
      </c>
      <c r="AI8" s="54"/>
      <c r="AJ8" s="54"/>
      <c r="AK8" s="97">
        <v>1000</v>
      </c>
      <c r="AL8" s="97">
        <v>1250</v>
      </c>
      <c r="AM8" s="97">
        <v>1800</v>
      </c>
      <c r="AN8" s="97">
        <v>2000</v>
      </c>
      <c r="AO8" s="97">
        <v>2500</v>
      </c>
      <c r="AP8" s="97">
        <v>2700</v>
      </c>
      <c r="AQ8" s="97">
        <v>3000</v>
      </c>
      <c r="AR8" s="97">
        <v>3600</v>
      </c>
      <c r="AS8" s="97">
        <v>3750</v>
      </c>
      <c r="AT8" s="97">
        <v>4000</v>
      </c>
      <c r="AU8" s="97">
        <v>5000</v>
      </c>
      <c r="AV8" s="145">
        <v>5400</v>
      </c>
      <c r="AW8" s="191"/>
      <c r="AX8" s="190"/>
      <c r="AY8" s="190"/>
      <c r="AZ8" s="190"/>
      <c r="BA8" s="190"/>
      <c r="BB8" s="190"/>
      <c r="BC8" s="190"/>
    </row>
    <row r="9" spans="1:66" ht="25.05" customHeight="1" x14ac:dyDescent="0.35">
      <c r="B9" s="456" t="s">
        <v>130</v>
      </c>
      <c r="C9" s="414"/>
      <c r="D9" s="414"/>
      <c r="E9" s="494">
        <v>1</v>
      </c>
      <c r="F9" s="443"/>
      <c r="G9" s="443"/>
      <c r="H9" s="444"/>
      <c r="J9" s="22" t="s">
        <v>2</v>
      </c>
      <c r="K9" s="242" t="s">
        <v>198</v>
      </c>
      <c r="L9" s="131">
        <f>K4</f>
        <v>2523</v>
      </c>
      <c r="M9" s="132">
        <f>IF(AND(E3&gt;0,E9=BE9),4,IF(AND(E3&gt;0,E9=BE10),8,0))</f>
        <v>4</v>
      </c>
      <c r="N9" s="362"/>
      <c r="O9" s="374">
        <f>IF(L9&gt;2650,M9,M9/2)</f>
        <v>2</v>
      </c>
      <c r="P9" s="276"/>
      <c r="Q9" s="276"/>
      <c r="R9" s="264">
        <f>IF(E7=AK47,O9*Цены!I8,IF(E7=AK48,O9*Цены!I9,IF(E7=AK49,O9*Цены!I10,IF(E7=AK50,O9*Цены!I11,O9*Цены!I14))))</f>
        <v>8773.9599999999991</v>
      </c>
      <c r="S9" s="259"/>
      <c r="T9" s="328" t="str">
        <f>J9</f>
        <v>вертикальный профиль</v>
      </c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362">
        <f>AV9</f>
        <v>2</v>
      </c>
      <c r="AG9" s="126"/>
      <c r="AH9" s="363">
        <f>$R$9</f>
        <v>8773.9599999999991</v>
      </c>
      <c r="AI9" s="403">
        <v>0.69</v>
      </c>
      <c r="AJ9" s="3">
        <f>AI9*L9*M9/1000</f>
        <v>6.9634799999999997</v>
      </c>
      <c r="AK9" s="144"/>
      <c r="AL9" s="144"/>
      <c r="AM9" s="144"/>
      <c r="AN9" s="144"/>
      <c r="AO9" s="144"/>
      <c r="AP9" s="144"/>
      <c r="AQ9" s="144"/>
      <c r="AR9" s="144"/>
      <c r="AS9" s="144"/>
      <c r="AT9" s="144"/>
      <c r="AU9" s="326"/>
      <c r="AV9" s="326">
        <f>O9</f>
        <v>2</v>
      </c>
      <c r="AW9" s="144"/>
      <c r="AX9" s="192"/>
      <c r="AY9" s="192"/>
      <c r="AZ9" s="192"/>
      <c r="BA9" s="192"/>
      <c r="BB9" s="192"/>
      <c r="BC9" s="192"/>
      <c r="BE9" s="49">
        <v>1</v>
      </c>
      <c r="BN9" s="1" t="s">
        <v>489</v>
      </c>
    </row>
    <row r="10" spans="1:66" ht="25.05" customHeight="1" x14ac:dyDescent="0.3">
      <c r="B10" s="439" t="s">
        <v>179</v>
      </c>
      <c r="C10" s="440"/>
      <c r="D10" s="440"/>
      <c r="E10" s="501" t="s">
        <v>91</v>
      </c>
      <c r="F10" s="441"/>
      <c r="G10" s="441"/>
      <c r="H10" s="442"/>
      <c r="J10" s="22" t="s">
        <v>5</v>
      </c>
      <c r="K10" s="239" t="s">
        <v>200</v>
      </c>
      <c r="L10" s="131">
        <f>E4-2</f>
        <v>998</v>
      </c>
      <c r="M10" s="132">
        <f>IF(E4=0,0,1)</f>
        <v>1</v>
      </c>
      <c r="N10" s="364">
        <f>L10*M10</f>
        <v>998</v>
      </c>
      <c r="O10" s="374">
        <f>CEILING((L10*M10)/5000,1)</f>
        <v>1</v>
      </c>
      <c r="P10" s="276"/>
      <c r="Q10" s="276"/>
      <c r="R10" s="264">
        <f>IF(OR(E7=AK48,E7=AK54,E7=AK51),O10*Цены!I25,O10*Цены!I24)</f>
        <v>4715.42</v>
      </c>
      <c r="S10" s="259"/>
      <c r="T10" s="328" t="str">
        <f t="shared" ref="T10:T16" si="0">J10</f>
        <v>направляющая верхняя</v>
      </c>
      <c r="U10" s="362">
        <f>AK10</f>
        <v>0</v>
      </c>
      <c r="V10" s="362"/>
      <c r="W10" s="362">
        <f t="shared" ref="W10:AB10" si="1">AM10</f>
        <v>0</v>
      </c>
      <c r="X10" s="362">
        <f t="shared" si="1"/>
        <v>0</v>
      </c>
      <c r="Y10" s="362">
        <f t="shared" si="1"/>
        <v>1</v>
      </c>
      <c r="Z10" s="362">
        <f t="shared" si="1"/>
        <v>0</v>
      </c>
      <c r="AA10" s="362">
        <f t="shared" si="1"/>
        <v>0</v>
      </c>
      <c r="AB10" s="362">
        <f t="shared" si="1"/>
        <v>0</v>
      </c>
      <c r="AC10" s="362"/>
      <c r="AD10" s="362">
        <f>AT10</f>
        <v>0</v>
      </c>
      <c r="AE10" s="362">
        <f>AU10</f>
        <v>0</v>
      </c>
      <c r="AF10" s="362">
        <f>AV10</f>
        <v>0</v>
      </c>
      <c r="AG10" s="364">
        <f>Y10*Y8++AE10*$AE$8</f>
        <v>2500</v>
      </c>
      <c r="AH10" s="347">
        <f>IF(OR($E$7=$AK$48,$E$7=$AK$54,$E$7=$AK$51),Y10*Цены!I25*0.5+AE10*Цены!I25,
Y10*Цены!I24*0.5+AE10*Цены!I24)</f>
        <v>2357.71</v>
      </c>
      <c r="AI10" s="3"/>
      <c r="AJ10" s="3"/>
      <c r="AK10" s="146"/>
      <c r="AL10" s="146"/>
      <c r="AM10" s="146"/>
      <c r="AN10" s="146"/>
      <c r="AO10" s="144">
        <f>IF(AND(AW10&gt;0,AW10&lt;=2500),1,0)</f>
        <v>1</v>
      </c>
      <c r="AP10" s="146"/>
      <c r="AQ10" s="146"/>
      <c r="AR10" s="146"/>
      <c r="AS10" s="146"/>
      <c r="AT10" s="146"/>
      <c r="AU10" s="144">
        <f>IF(AND(AW10&gt;2500,AW10&lt;=5000),AX10+1,AX10)</f>
        <v>0</v>
      </c>
      <c r="AV10" s="146"/>
      <c r="AW10" s="189">
        <f>$N$10-$AN$5*AX10</f>
        <v>998</v>
      </c>
      <c r="AX10" s="144">
        <f>INT($N$10/$AN$5)</f>
        <v>0</v>
      </c>
      <c r="AY10" s="144"/>
      <c r="AZ10" s="144"/>
      <c r="BA10" s="144"/>
      <c r="BB10" s="144"/>
      <c r="BC10" s="144"/>
      <c r="BE10" s="49">
        <v>2</v>
      </c>
      <c r="BN10" s="1" t="s">
        <v>487</v>
      </c>
    </row>
    <row r="11" spans="1:66" ht="25.05" customHeight="1" x14ac:dyDescent="0.3">
      <c r="B11" s="445" t="s">
        <v>164</v>
      </c>
      <c r="C11" s="446"/>
      <c r="D11" s="446"/>
      <c r="E11" s="501" t="s">
        <v>135</v>
      </c>
      <c r="F11" s="441"/>
      <c r="G11" s="441"/>
      <c r="H11" s="442"/>
      <c r="J11" s="22" t="s">
        <v>5</v>
      </c>
      <c r="K11" s="239" t="s">
        <v>226</v>
      </c>
      <c r="L11" s="131">
        <f>IF(E8=BE5,L10,0)</f>
        <v>0</v>
      </c>
      <c r="M11" s="132">
        <f>IF(E8=BE5,1,0)</f>
        <v>0</v>
      </c>
      <c r="N11" s="364">
        <f t="shared" ref="N11:N16" si="2">L11*M11</f>
        <v>0</v>
      </c>
      <c r="O11" s="374">
        <f>CEILING((L11*M11)/5400,1)</f>
        <v>0</v>
      </c>
      <c r="P11" s="276"/>
      <c r="Q11" s="276"/>
      <c r="R11" s="373">
        <f>IF(E7=AK47,O11*Цены!I60,IF(E7=AK48,O11*Цены!I61,IF(E7=AK49,O11*Цены!I62,IF(E7=AK50,O11*Цены!I63,O11*Цены!I66))))</f>
        <v>0</v>
      </c>
      <c r="S11" s="281"/>
      <c r="T11" s="328" t="str">
        <f t="shared" si="0"/>
        <v>направляющая верхняя</v>
      </c>
      <c r="U11" s="362">
        <f t="shared" ref="U11:U16" si="3">AK11</f>
        <v>0</v>
      </c>
      <c r="V11" s="362"/>
      <c r="W11" s="362">
        <f t="shared" ref="W11:W16" si="4">AM11</f>
        <v>0</v>
      </c>
      <c r="X11" s="362">
        <f t="shared" ref="X11:X16" si="5">AN11</f>
        <v>0</v>
      </c>
      <c r="Y11" s="362">
        <f t="shared" ref="Y11:Y16" si="6">AO11</f>
        <v>0</v>
      </c>
      <c r="Z11" s="362">
        <f t="shared" ref="Z11:Z16" si="7">AP11</f>
        <v>0</v>
      </c>
      <c r="AA11" s="362">
        <f t="shared" ref="AA11:AA16" si="8">AQ11</f>
        <v>0</v>
      </c>
      <c r="AB11" s="362">
        <f t="shared" ref="AB11:AB16" si="9">AR11</f>
        <v>0</v>
      </c>
      <c r="AC11" s="362"/>
      <c r="AD11" s="362">
        <f t="shared" ref="AD11:AD16" si="10">AT11</f>
        <v>0</v>
      </c>
      <c r="AE11" s="362">
        <f t="shared" ref="AE11:AE16" si="11">AU11</f>
        <v>0</v>
      </c>
      <c r="AF11" s="362">
        <f t="shared" ref="AF11:AF16" si="12">AV11</f>
        <v>0</v>
      </c>
      <c r="AG11" s="364">
        <f>Z11*Z8++AF11*AF8</f>
        <v>0</v>
      </c>
      <c r="AH11" s="363">
        <f>IF($E$7=$AK$47,(Z11*0.5+AF11)*Цены!I60,
IF($E$7=$AK$48,(Z11*0.5+AF11)*Цены!I61,
IF($E$7=$AK$49,(Z11*0.5+AF11)*Цены!I62,
IF($E$7=$AK$50,(Z11*0.5+AF11)*Цены!I63,
(Z11*0.5+AF11)*Цены!I66))))</f>
        <v>0</v>
      </c>
      <c r="AI11" s="3"/>
      <c r="AJ11" s="3"/>
      <c r="AK11" s="146"/>
      <c r="AL11" s="146"/>
      <c r="AM11" s="146"/>
      <c r="AN11" s="146"/>
      <c r="AO11" s="146"/>
      <c r="AP11" s="144">
        <f>IF(AND(AW11&gt;0,AW11&lt;=2700),1,0)</f>
        <v>0</v>
      </c>
      <c r="AQ11" s="146"/>
      <c r="AR11" s="146"/>
      <c r="AS11" s="146"/>
      <c r="AT11" s="146"/>
      <c r="AU11" s="146"/>
      <c r="AV11" s="144">
        <f>IF(AND(AW11&gt;2700,AW11&lt;=5400),AX11+1,AX11)</f>
        <v>0</v>
      </c>
      <c r="AW11" s="189">
        <f>$N$11-$AN$7*AX11</f>
        <v>0</v>
      </c>
      <c r="AX11" s="144">
        <f>INT($N$11/$AN$7)</f>
        <v>0</v>
      </c>
      <c r="AY11" s="144"/>
      <c r="AZ11" s="144"/>
      <c r="BA11" s="192"/>
      <c r="BB11" s="192"/>
      <c r="BC11" s="192"/>
      <c r="BN11" s="1" t="s">
        <v>488</v>
      </c>
    </row>
    <row r="12" spans="1:66" ht="25.05" customHeight="1" thickBot="1" x14ac:dyDescent="0.35">
      <c r="B12" s="509" t="s">
        <v>178</v>
      </c>
      <c r="C12" s="510"/>
      <c r="D12" s="510"/>
      <c r="E12" s="502">
        <v>540</v>
      </c>
      <c r="F12" s="503"/>
      <c r="G12" s="503"/>
      <c r="H12" s="504"/>
      <c r="J12" s="22" t="s">
        <v>6</v>
      </c>
      <c r="K12" s="242" t="s">
        <v>201</v>
      </c>
      <c r="L12" s="131">
        <f>IF(E8=BE6,L10,0)</f>
        <v>998</v>
      </c>
      <c r="M12" s="132">
        <f>IF(E8=BE6,1,0)</f>
        <v>1</v>
      </c>
      <c r="N12" s="364">
        <f t="shared" si="2"/>
        <v>998</v>
      </c>
      <c r="O12" s="374">
        <f>CEILING((L12*M12)/5000,1)</f>
        <v>1</v>
      </c>
      <c r="P12" s="276"/>
      <c r="Q12" s="276"/>
      <c r="R12" s="264">
        <f>IF(E7=AK47,O12*Цены!I16,IF(E7=AK48,O12*Цены!I17,IF(E7=AK49,O12*Цены!I18,IF(E7=AK50,O12*Цены!I19,O12*Цены!I22))))</f>
        <v>1534.73</v>
      </c>
      <c r="S12" s="259"/>
      <c r="T12" s="328" t="str">
        <f t="shared" si="0"/>
        <v>накладка декоративная</v>
      </c>
      <c r="U12" s="362">
        <f t="shared" si="3"/>
        <v>0</v>
      </c>
      <c r="V12" s="362"/>
      <c r="W12" s="362">
        <f t="shared" si="4"/>
        <v>0</v>
      </c>
      <c r="X12" s="362">
        <f t="shared" si="5"/>
        <v>0</v>
      </c>
      <c r="Y12" s="362">
        <f t="shared" si="6"/>
        <v>1</v>
      </c>
      <c r="Z12" s="362">
        <f t="shared" si="7"/>
        <v>0</v>
      </c>
      <c r="AA12" s="362">
        <f t="shared" si="8"/>
        <v>0</v>
      </c>
      <c r="AB12" s="362">
        <f t="shared" si="9"/>
        <v>0</v>
      </c>
      <c r="AC12" s="362"/>
      <c r="AD12" s="362">
        <f t="shared" si="10"/>
        <v>0</v>
      </c>
      <c r="AE12" s="362">
        <f t="shared" si="11"/>
        <v>0</v>
      </c>
      <c r="AF12" s="362">
        <f t="shared" si="12"/>
        <v>0</v>
      </c>
      <c r="AG12" s="364">
        <f>Y12*Y8+AE12*$AE$8</f>
        <v>2500</v>
      </c>
      <c r="AH12" s="347">
        <f>IF($E$7=$AK$47,(Y12*0.5+AE12)*Цены!$I$16,
IF($E$7=$AK$48,(Y12*0.5+AE12)*Цены!$I$17,
IF($E$7=$AK$49,(Y12*0.5+AE12)*Цены!$I$18,
IF($E$7=AK50,(Y12*0.5+AE12)*Цены!$I$19,
(Y12*0.5+AE12)*Цены!$I$22))))</f>
        <v>767.36500000000001</v>
      </c>
      <c r="AI12" s="3"/>
      <c r="AJ12" s="3"/>
      <c r="AK12" s="146"/>
      <c r="AL12" s="146"/>
      <c r="AM12" s="146"/>
      <c r="AN12" s="146"/>
      <c r="AO12" s="144">
        <f>IF(AND(AW12&gt;0,AW12&lt;=2500),1,0)</f>
        <v>1</v>
      </c>
      <c r="AP12" s="146"/>
      <c r="AQ12" s="146"/>
      <c r="AR12" s="146"/>
      <c r="AS12" s="146"/>
      <c r="AT12" s="146"/>
      <c r="AU12" s="144">
        <f>IF(AND(AW12&gt;2500,AW12&lt;=5000),AX12+1,AX12)</f>
        <v>0</v>
      </c>
      <c r="AV12" s="146"/>
      <c r="AW12" s="189">
        <f>$N$12-$AN$6*AX12</f>
        <v>998</v>
      </c>
      <c r="AX12" s="144">
        <f>INT($N$12/$AN$6)</f>
        <v>0</v>
      </c>
      <c r="AY12" s="144"/>
      <c r="AZ12" s="144"/>
      <c r="BA12" s="192"/>
      <c r="BB12" s="192"/>
      <c r="BC12" s="192"/>
    </row>
    <row r="13" spans="1:66" ht="25.05" customHeight="1" x14ac:dyDescent="0.3">
      <c r="J13" s="22" t="s">
        <v>3</v>
      </c>
      <c r="K13" s="242" t="s">
        <v>270</v>
      </c>
      <c r="L13" s="131">
        <f>K5-78</f>
        <v>411</v>
      </c>
      <c r="M13" s="132">
        <f>IF(E4=0,0,E9*2)</f>
        <v>2</v>
      </c>
      <c r="N13" s="364">
        <f t="shared" si="2"/>
        <v>822</v>
      </c>
      <c r="O13" s="372">
        <f>AX13+IF(AW13&gt;0,1,0)</f>
        <v>1</v>
      </c>
      <c r="P13" s="276"/>
      <c r="Q13" s="276"/>
      <c r="R13" s="264">
        <f>IF(E7=AK47,O13*Цены!I29,IF(E7=AK48,O13*Цены!I30,IF(E7=AK49,O13*Цены!I31,IF(E7=AK50,O13*Цены!I32,O13*Цены!I35))))</f>
        <v>2648.86</v>
      </c>
      <c r="S13" s="259"/>
      <c r="T13" s="328" t="str">
        <f t="shared" si="0"/>
        <v>рамка верхняя</v>
      </c>
      <c r="U13" s="362">
        <f t="shared" si="3"/>
        <v>1</v>
      </c>
      <c r="V13" s="362"/>
      <c r="W13" s="362">
        <f t="shared" si="4"/>
        <v>0</v>
      </c>
      <c r="X13" s="362">
        <f t="shared" si="5"/>
        <v>0</v>
      </c>
      <c r="Y13" s="362">
        <f t="shared" si="6"/>
        <v>0</v>
      </c>
      <c r="Z13" s="362">
        <f t="shared" si="7"/>
        <v>0</v>
      </c>
      <c r="AA13" s="362">
        <f t="shared" si="8"/>
        <v>0</v>
      </c>
      <c r="AB13" s="362">
        <f t="shared" si="9"/>
        <v>0</v>
      </c>
      <c r="AC13" s="362"/>
      <c r="AD13" s="362">
        <f t="shared" si="10"/>
        <v>0</v>
      </c>
      <c r="AE13" s="362">
        <f t="shared" si="11"/>
        <v>0</v>
      </c>
      <c r="AF13" s="362">
        <f t="shared" si="12"/>
        <v>0</v>
      </c>
      <c r="AG13" s="364">
        <f>U13*$U$8+X13*$X$8+AA13*$AA$8+AD13*$AD$8+AE13*$AE$8</f>
        <v>1000</v>
      </c>
      <c r="AH13" s="347">
        <f>IF($E$7=$AK$47,(U13*0.2+X13*0.4+AA13*0.6+AD13*0.8+AE13)*Цены!$I$29,
IF($E$7=$AK$48,(U13*0.2+X13*0.4+AA13*0.6+AD13*0.8+AE13)*Цены!$I$30,
IF($E$7=$AK$49,(U13*0.2+X13*0.4+AA13*0.6+AD13*0.8+AE13)*Цены!$I$31,
IF($E$7=$AK$50,(U13*0.2+X13*0.4+AA13*0.6+AD13*0.8+AE13)*Цены!$I$32,
(U13*0.2+X13*0.4+AA13*0.6+AD13*0.8+AE13)*Цены!$I$35))))</f>
        <v>529.77200000000005</v>
      </c>
      <c r="AI13" s="404">
        <v>0.47399999999999998</v>
      </c>
      <c r="AJ13" s="3">
        <f>AI13*L13*M13/1000</f>
        <v>0.38962799999999997</v>
      </c>
      <c r="AK13" s="144">
        <f>IF(AND(AW13&gt;0,AW13&lt;=1000),1,0)</f>
        <v>1</v>
      </c>
      <c r="AL13" s="146"/>
      <c r="AM13" s="146"/>
      <c r="AN13" s="144">
        <f>IF(AND(AW13&gt;1000,AW13&lt;=2000),1,0)</f>
        <v>0</v>
      </c>
      <c r="AO13" s="146"/>
      <c r="AP13" s="146"/>
      <c r="AQ13" s="144">
        <f>IF(AND(AW13&gt;2000,AW13&lt;=3000),1,0)</f>
        <v>0</v>
      </c>
      <c r="AR13" s="146"/>
      <c r="AS13" s="146"/>
      <c r="AT13" s="144">
        <f>IF(AND(AW13&gt;3000,AW13&lt;=4000),1,0)</f>
        <v>0</v>
      </c>
      <c r="AU13" s="144">
        <f>IF(AND(AW13&gt;4000,AW13&lt;=5000),AX13+1,AX13)</f>
        <v>0</v>
      </c>
      <c r="AV13" s="146"/>
      <c r="AW13" s="189">
        <f>N13-INT($AN$5/L13)*L13*AX13</f>
        <v>822</v>
      </c>
      <c r="AX13" s="144">
        <f>INT(M13/INT($AN$5/L13))</f>
        <v>0</v>
      </c>
      <c r="AY13" s="144"/>
      <c r="AZ13" s="144"/>
      <c r="BA13" s="192"/>
      <c r="BB13" s="192"/>
      <c r="BC13" s="192"/>
      <c r="BE13" s="8" t="s">
        <v>11</v>
      </c>
    </row>
    <row r="14" spans="1:66" ht="25.05" customHeight="1" thickBot="1" x14ac:dyDescent="0.35">
      <c r="J14" s="22" t="s">
        <v>4</v>
      </c>
      <c r="K14" s="242" t="s">
        <v>199</v>
      </c>
      <c r="L14" s="131">
        <f>K5-78</f>
        <v>411</v>
      </c>
      <c r="M14" s="132">
        <f>IF(E4=0,0,E9*2)</f>
        <v>2</v>
      </c>
      <c r="N14" s="364">
        <f t="shared" si="2"/>
        <v>822</v>
      </c>
      <c r="O14" s="372">
        <f>AX14+IF(AW14&gt;0,1,0)</f>
        <v>1</v>
      </c>
      <c r="P14" s="276"/>
      <c r="Q14" s="276"/>
      <c r="R14" s="264">
        <f>IF(E7=AK47,O14*Цены!I37,IF(E7=AK48,O14*Цены!I38,IF(E7=AK49,O14*Цены!I39,IF(E7=AK50,O14*Цены!I40,O14*Цены!I43))))</f>
        <v>2181.79</v>
      </c>
      <c r="S14" s="259"/>
      <c r="T14" s="328" t="str">
        <f t="shared" si="0"/>
        <v>рамка нижняя</v>
      </c>
      <c r="U14" s="362">
        <f t="shared" si="3"/>
        <v>1</v>
      </c>
      <c r="V14" s="362"/>
      <c r="W14" s="362">
        <f t="shared" si="4"/>
        <v>0</v>
      </c>
      <c r="X14" s="362">
        <f t="shared" si="5"/>
        <v>0</v>
      </c>
      <c r="Y14" s="362">
        <f t="shared" si="6"/>
        <v>0</v>
      </c>
      <c r="Z14" s="362">
        <f t="shared" si="7"/>
        <v>0</v>
      </c>
      <c r="AA14" s="362">
        <f t="shared" si="8"/>
        <v>0</v>
      </c>
      <c r="AB14" s="362">
        <f t="shared" si="9"/>
        <v>0</v>
      </c>
      <c r="AC14" s="362"/>
      <c r="AD14" s="362">
        <f t="shared" si="10"/>
        <v>0</v>
      </c>
      <c r="AE14" s="362">
        <f t="shared" si="11"/>
        <v>0</v>
      </c>
      <c r="AF14" s="362">
        <f t="shared" si="12"/>
        <v>0</v>
      </c>
      <c r="AG14" s="364">
        <f>U14*$U$8+X14*$X$8+AA14*$AA$8+AD14*$AD$8+AE14*$AE$8</f>
        <v>1000</v>
      </c>
      <c r="AH14" s="347">
        <f>IF($E$7=$AK$47,(U14*0.2+X14*0.4+AA14*0.6+AD14*0.8+AE14)*Цены!$I$37,
IF($E$7=$AK$48,(U14*0.2+X14*0.4+AA14*0.6+AD14*0.8+AE14)*Цены!$I$38,
IF($E$7=$AK$49,(U14*0.2+X14*0.4+AA14*0.6+AD14*0.8+AE14)*Цены!$I$39,
IF($E$7=$AK$50,(U14*0.2+X14*0.4+AA14*0.6+AD14*0.8+AE14)*Цены!$I$40,
(U14*0.2+X14*0.4+AA14*0.6+AD14*0.8+AE14)*Цены!$I$43))))</f>
        <v>436.358</v>
      </c>
      <c r="AI14" s="404">
        <v>0.379</v>
      </c>
      <c r="AJ14" s="3">
        <f>AI14*L14*M14/1000</f>
        <v>0.31153800000000004</v>
      </c>
      <c r="AK14" s="144">
        <f>IF(AND(AW14&gt;0,AW14&lt;=1000),1,0)</f>
        <v>1</v>
      </c>
      <c r="AL14" s="146"/>
      <c r="AM14" s="146"/>
      <c r="AN14" s="144">
        <f>IF(AND(AW14&gt;1000,AW14&lt;=2000),1,0)</f>
        <v>0</v>
      </c>
      <c r="AO14" s="146"/>
      <c r="AP14" s="146"/>
      <c r="AQ14" s="144">
        <f>IF(AND(AW14&gt;2000,AW14&lt;=3000),1,0)</f>
        <v>0</v>
      </c>
      <c r="AR14" s="146"/>
      <c r="AS14" s="146"/>
      <c r="AT14" s="144">
        <f>IF(AND(AW14&gt;3000,AW14&lt;=4000),1,0)</f>
        <v>0</v>
      </c>
      <c r="AU14" s="144">
        <f>IF(AND(AW14&gt;4000,AW14&lt;=5000),AX14+1,AX14)</f>
        <v>0</v>
      </c>
      <c r="AV14" s="146"/>
      <c r="AW14" s="189">
        <f>N14-INT($AN$5/L14)*L14*AX14</f>
        <v>822</v>
      </c>
      <c r="AX14" s="144">
        <f>INT(M14/INT($AN$5/L14))</f>
        <v>0</v>
      </c>
      <c r="AY14" s="144"/>
      <c r="AZ14" s="144"/>
      <c r="BA14" s="192"/>
      <c r="BB14" s="192" t="s">
        <v>277</v>
      </c>
      <c r="BC14" s="193" t="s">
        <v>278</v>
      </c>
      <c r="BE14" s="8" t="s">
        <v>12</v>
      </c>
    </row>
    <row r="15" spans="1:66" ht="25.05" customHeight="1" thickBot="1" x14ac:dyDescent="0.35">
      <c r="B15" s="59"/>
      <c r="C15" s="60"/>
      <c r="D15" s="60"/>
      <c r="E15" s="60"/>
      <c r="F15" s="60"/>
      <c r="G15" s="60"/>
      <c r="H15" s="61"/>
      <c r="I15" s="55"/>
      <c r="J15" s="135" t="str">
        <f>E6</f>
        <v>рамка средняя 4в1</v>
      </c>
      <c r="K15" s="242" t="str">
        <f>IF(J15=BH5,BI5,BI6)</f>
        <v>FA0716.VP500</v>
      </c>
      <c r="L15" s="131">
        <f>IF(AND(E6=BH6,E5&gt;0),K5-78,IF(AND(E6=BH5,E5&gt;0),K5-76,0))</f>
        <v>0</v>
      </c>
      <c r="M15" s="132">
        <f>E5*2*E9</f>
        <v>0</v>
      </c>
      <c r="N15" s="364">
        <f t="shared" si="2"/>
        <v>0</v>
      </c>
      <c r="O15" s="372">
        <f>IF(J15=BH6,AX15+IF(AW15&gt;0,1,0),BA15+IF(AZ15&gt;0,1,0))</f>
        <v>0</v>
      </c>
      <c r="P15" s="276"/>
      <c r="Q15" s="276"/>
      <c r="R15" s="264">
        <f>IF(J15=BH5,BG5,BG6)</f>
        <v>0</v>
      </c>
      <c r="S15" s="259"/>
      <c r="T15" s="328" t="str">
        <f t="shared" si="0"/>
        <v>рамка средняя 4в1</v>
      </c>
      <c r="U15" s="362">
        <f t="shared" si="3"/>
        <v>0</v>
      </c>
      <c r="V15" s="362"/>
      <c r="W15" s="362">
        <f t="shared" si="4"/>
        <v>0</v>
      </c>
      <c r="X15" s="362">
        <f t="shared" si="5"/>
        <v>0</v>
      </c>
      <c r="Y15" s="362">
        <f t="shared" si="6"/>
        <v>0</v>
      </c>
      <c r="Z15" s="362">
        <f t="shared" si="7"/>
        <v>0</v>
      </c>
      <c r="AA15" s="362">
        <f t="shared" si="8"/>
        <v>0</v>
      </c>
      <c r="AB15" s="362">
        <f t="shared" si="9"/>
        <v>0</v>
      </c>
      <c r="AC15" s="362"/>
      <c r="AD15" s="362">
        <f t="shared" si="10"/>
        <v>0</v>
      </c>
      <c r="AE15" s="362">
        <f t="shared" si="11"/>
        <v>0</v>
      </c>
      <c r="AF15" s="362">
        <f t="shared" si="12"/>
        <v>0</v>
      </c>
      <c r="AG15" s="364">
        <f>U15*$U$8+W15*W8+X15*$X$8+Y15*Y8+Z15*Z8+AA15*$AA$8+AB15*AB8+AD15*$AD$8+AE15*$AE$8+AF15*AF8</f>
        <v>0</v>
      </c>
      <c r="AH15" s="355">
        <f>IF($E$6=$BH$5,BC15,BB15)</f>
        <v>0</v>
      </c>
      <c r="AI15" s="404">
        <v>0.58499999999999996</v>
      </c>
      <c r="AJ15" s="3">
        <f>AI15*L15*M15/1000</f>
        <v>0</v>
      </c>
      <c r="AK15" s="194">
        <f>IF(AND(J15=BH6,AW15&gt;0,AW15&lt;=1000),1,0)</f>
        <v>0</v>
      </c>
      <c r="AL15" s="146"/>
      <c r="AM15" s="195">
        <f>IF(AND(J15=BH5,AZ15&gt;0,AZ15&lt;=1800),1,0)</f>
        <v>0</v>
      </c>
      <c r="AN15" s="194">
        <f>IF(AND(J15=BH6,AW15&gt;1000,AW15&lt;=2000),1,0)</f>
        <v>0</v>
      </c>
      <c r="AO15" s="146"/>
      <c r="AP15" s="195">
        <f>IF(AND(J15=BH5,AZ15&gt;1800,AZ15&lt;=2700),1,0)</f>
        <v>0</v>
      </c>
      <c r="AQ15" s="194">
        <f>IF(AND(J15=BH6,AW15&gt;2000,AW15&lt;=3000),1,0)</f>
        <v>0</v>
      </c>
      <c r="AR15" s="195">
        <f>IF(AND(J15=BH5,AZ15&gt;2700,AZ15&lt;=3600),1,0)</f>
        <v>0</v>
      </c>
      <c r="AS15" s="146"/>
      <c r="AT15" s="194">
        <f>IF(AND(J15=BH6,AW15&gt;3000,AW15&lt;=4000),1,0)</f>
        <v>0</v>
      </c>
      <c r="AU15" s="194">
        <f>IF(AND(J15=BH6,AW15&gt;4000,AW15&lt;=5000),AX15+1,AX15)</f>
        <v>0</v>
      </c>
      <c r="AV15" s="195">
        <f>IF(AND(J15=BH5,AZ15&gt;3600,AZ15&lt;=5400),BA15+1,BA15)</f>
        <v>0</v>
      </c>
      <c r="AW15" s="189">
        <f>IF(E5&lt;&gt;0,N15-INT(AN5/L15)*L15*AX15,0)</f>
        <v>0</v>
      </c>
      <c r="AX15" s="144">
        <f>IF(AND(E6=BH6,E5&lt;&gt;0),INT(M15/INT(AN5/L15)),0)</f>
        <v>0</v>
      </c>
      <c r="AY15" s="144"/>
      <c r="AZ15" s="144">
        <f>IF(E5&lt;&gt;0,N15-INT(AN7/L15)*L15*BA15,0)</f>
        <v>0</v>
      </c>
      <c r="BA15" s="192">
        <f>IF(AND(E6=BH5,E5&lt;&gt;0),INT(M15/INT(AN7/L15)),0)</f>
        <v>0</v>
      </c>
      <c r="BB15" s="192">
        <f>IF($E$7=$AK$47,(U15*0.2+X15*0.4+AA15*0.6+AD15*0.8+AE15)*Цены!$I$45,
IF($E$7=$AK$48,(U15*0.2+X15*0.4+AA15*0.6+AD15*0.8+AE15)*Цены!$I$46,
IF($E$7=$AK$49,(U15*0.2+X15*0.4+AA15*0.6+AD15*0.8+AE15)*Цены!$I$47,
IF($E$7=$AK$50,(U15*0.2+X15*0.4+AA15*0.6+AD15*0.8+AE15)*Цены!$I$48,
(U15*0.2+X15*0.4+AA15*0.6+AD15*0.8+AE15)*Цены!$I$51))))</f>
        <v>0</v>
      </c>
      <c r="BC15" s="192">
        <f>IF($E$7=$AK$47,(W15*0.34+Z15*0.5+AB15*0.67+AF15)*Цены!$I$69,
IF($E$7=$AK$48,(W15*0.34+Z15*0.5+AB15*0.67+AF15)*Цены!$I$70,
IF($E$7=$AK$49,(W15*0.34+Z15*0.5+AB15*0.67+AF15)*Цены!$I$71,
IF($E$7=$AK$50,(W15*0.34+Z15*0.5+AB15*0.67+AF15)*Цены!$I$71,
(W15*0.34+Z15*0.5+AB15*0.67+AF15)*Цены!$I$75))))</f>
        <v>0</v>
      </c>
      <c r="BE15" s="8" t="s">
        <v>13</v>
      </c>
    </row>
    <row r="16" spans="1:66" ht="25.05" customHeight="1" thickBot="1" x14ac:dyDescent="0.4">
      <c r="B16" s="62" t="s">
        <v>113</v>
      </c>
      <c r="C16" s="63">
        <f>E5+1</f>
        <v>1</v>
      </c>
      <c r="D16" s="99"/>
      <c r="E16" s="100"/>
      <c r="F16" s="100"/>
      <c r="G16" s="100"/>
      <c r="H16" s="65"/>
      <c r="I16" s="77"/>
      <c r="J16" s="22" t="s">
        <v>18</v>
      </c>
      <c r="K16" s="242" t="s">
        <v>211</v>
      </c>
      <c r="L16" s="131">
        <f>E12</f>
        <v>540</v>
      </c>
      <c r="M16" s="132">
        <f>E9</f>
        <v>1</v>
      </c>
      <c r="N16" s="364">
        <f t="shared" si="2"/>
        <v>540</v>
      </c>
      <c r="O16" s="372">
        <f>CEILING((L16*M16)/5400,1)</f>
        <v>1</v>
      </c>
      <c r="P16" s="276"/>
      <c r="Q16" s="276"/>
      <c r="R16" s="292">
        <f>IF(OR($E$7=AK47,$E$7=AK53),O16*Цены!$I$26,IF(OR($E$7=AK48,$E$7=AK51,$E$7=AK54),O16*Цены!$I$27,O16*Цены!$I$28))</f>
        <v>1079.18</v>
      </c>
      <c r="S16" s="281"/>
      <c r="T16" s="328" t="str">
        <f t="shared" si="0"/>
        <v>ручка-рейлинг</v>
      </c>
      <c r="U16" s="362">
        <f t="shared" si="3"/>
        <v>0</v>
      </c>
      <c r="V16" s="362"/>
      <c r="W16" s="362">
        <f t="shared" si="4"/>
        <v>0</v>
      </c>
      <c r="X16" s="362">
        <f t="shared" si="5"/>
        <v>0</v>
      </c>
      <c r="Y16" s="362">
        <f t="shared" si="6"/>
        <v>0</v>
      </c>
      <c r="Z16" s="362">
        <f t="shared" si="7"/>
        <v>1</v>
      </c>
      <c r="AA16" s="362">
        <f t="shared" si="8"/>
        <v>0</v>
      </c>
      <c r="AB16" s="362">
        <f t="shared" si="9"/>
        <v>0</v>
      </c>
      <c r="AC16" s="362"/>
      <c r="AD16" s="362">
        <f t="shared" si="10"/>
        <v>0</v>
      </c>
      <c r="AE16" s="362">
        <f t="shared" si="11"/>
        <v>0</v>
      </c>
      <c r="AF16" s="362">
        <f t="shared" si="12"/>
        <v>0</v>
      </c>
      <c r="AG16" s="364">
        <f>Z16*Z8+AF16*AF8</f>
        <v>2700</v>
      </c>
      <c r="AH16" s="317">
        <f>IF(OR($E$7=$AK$47,$E$7=AK53),(Z16*0.5+AF16)*Цены!$I$26,
IF(OR($E$7=AK48,$E$7=AK51,$E$7=AK54),(Z16*0.5+AF16)*Цены!$I$27,
(Z16*0.5+AF16)*Цены!$I$28))</f>
        <v>539.59</v>
      </c>
      <c r="AI16" s="405">
        <v>0.33600000000000002</v>
      </c>
      <c r="AJ16" s="3">
        <f>AI16*L15*M15/1000</f>
        <v>0</v>
      </c>
      <c r="AK16" s="196"/>
      <c r="AL16" s="196"/>
      <c r="AM16" s="196"/>
      <c r="AN16" s="196"/>
      <c r="AO16" s="196"/>
      <c r="AP16" s="144">
        <f>IF(AND(AZ16&gt;0,AZ16&lt;=2700),1,0)</f>
        <v>1</v>
      </c>
      <c r="AQ16" s="196"/>
      <c r="AR16" s="196"/>
      <c r="AS16" s="196"/>
      <c r="AT16" s="196"/>
      <c r="AU16" s="196"/>
      <c r="AV16" s="144">
        <f>IF(AND(AZ16&gt;2700,AZ16&lt;=5400),BA16+1,BA16)</f>
        <v>0</v>
      </c>
      <c r="AW16" s="189"/>
      <c r="AX16" s="144"/>
      <c r="AY16" s="189"/>
      <c r="AZ16" s="189">
        <f>$N$16-$AN$7*AX16</f>
        <v>540</v>
      </c>
      <c r="BA16" s="189">
        <f>INT($N$16/$AN$7)</f>
        <v>0</v>
      </c>
      <c r="BB16" s="189"/>
      <c r="BC16" s="189"/>
    </row>
    <row r="17" spans="2:66" ht="25.05" customHeight="1" thickBot="1" x14ac:dyDescent="0.35">
      <c r="B17" s="67"/>
      <c r="C17" s="68"/>
      <c r="D17" s="68"/>
      <c r="E17" s="68"/>
      <c r="F17" s="68"/>
      <c r="G17" s="68"/>
      <c r="H17" s="69"/>
      <c r="I17" s="77"/>
      <c r="J17" s="268"/>
      <c r="K17" s="269"/>
      <c r="L17" s="269"/>
      <c r="M17" s="269"/>
      <c r="N17" s="269"/>
      <c r="O17" s="270"/>
      <c r="P17" s="278"/>
      <c r="Q17" s="278"/>
      <c r="R17" s="137">
        <f>SUM(R9:R16)</f>
        <v>20933.939999999999</v>
      </c>
      <c r="S17" s="285"/>
      <c r="T17" s="329"/>
      <c r="U17" s="424" t="s">
        <v>109</v>
      </c>
      <c r="V17" s="424"/>
      <c r="W17" s="424"/>
      <c r="X17" s="424"/>
      <c r="Y17" s="424"/>
      <c r="Z17" s="424"/>
      <c r="AA17" s="424"/>
      <c r="AB17" s="424"/>
      <c r="AC17" s="424"/>
      <c r="AD17" s="424"/>
      <c r="AE17" s="424"/>
      <c r="AF17" s="424"/>
      <c r="AG17" s="425"/>
      <c r="AH17" s="137">
        <f>SUM(AH9:AH16)</f>
        <v>13404.754999999999</v>
      </c>
      <c r="AI17" s="409">
        <v>0.16900000000000001</v>
      </c>
      <c r="AJ17" s="3">
        <f>AI17*L16*M16/1000</f>
        <v>9.1260000000000008E-2</v>
      </c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L17" s="1" t="b">
        <v>1</v>
      </c>
    </row>
    <row r="18" spans="2:66" ht="25.05" customHeight="1" thickBot="1" x14ac:dyDescent="0.35">
      <c r="B18" s="67"/>
      <c r="C18" s="68"/>
      <c r="D18" s="68"/>
      <c r="E18" s="68"/>
      <c r="F18" s="68"/>
      <c r="G18" s="68"/>
      <c r="H18" s="69"/>
      <c r="I18" s="77"/>
      <c r="J18" s="12"/>
      <c r="K18" s="6"/>
      <c r="L18" s="6"/>
      <c r="M18" s="6"/>
      <c r="N18" s="6"/>
      <c r="O18" s="13"/>
      <c r="R18" s="354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3"/>
      <c r="AJ18" s="55">
        <f>IF(E6=BH5,AJ9+AJ13+AJ14+AJ16+AJ17,AJ9+AJ13+AJ14+AJ15+AJ17)</f>
        <v>7.7559059999999995</v>
      </c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E18" s="1" t="s">
        <v>91</v>
      </c>
    </row>
    <row r="19" spans="2:66" ht="25.05" customHeight="1" thickBot="1" x14ac:dyDescent="0.35">
      <c r="B19" s="70" t="s">
        <v>114</v>
      </c>
      <c r="C19" s="357" t="s">
        <v>115</v>
      </c>
      <c r="D19" s="71" t="s">
        <v>84</v>
      </c>
      <c r="E19" s="357" t="s">
        <v>116</v>
      </c>
      <c r="F19" s="357" t="s">
        <v>117</v>
      </c>
      <c r="G19" s="357" t="s">
        <v>133</v>
      </c>
      <c r="H19" s="72" t="s">
        <v>134</v>
      </c>
      <c r="J19" s="12"/>
      <c r="K19" s="6"/>
      <c r="L19" s="6"/>
      <c r="M19" s="6"/>
      <c r="N19" s="6"/>
      <c r="O19" s="13"/>
      <c r="R19" s="354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296">
        <f>AJ18/E9</f>
        <v>7.7559059999999995</v>
      </c>
      <c r="AP19" s="245" t="s">
        <v>455</v>
      </c>
      <c r="BE19" s="1" t="s">
        <v>92</v>
      </c>
      <c r="BL19" s="1" t="b">
        <v>1</v>
      </c>
    </row>
    <row r="20" spans="2:66" ht="25.05" customHeight="1" thickBot="1" x14ac:dyDescent="0.35">
      <c r="B20" s="73" t="s">
        <v>118</v>
      </c>
      <c r="C20" s="15" t="s">
        <v>13</v>
      </c>
      <c r="D20" s="96">
        <v>0</v>
      </c>
      <c r="E20" s="16">
        <f>K4-IF(E24=0,0,IF(C24=BE13,E24,IF(C24=BE14,E24+2,E24+3)))-IF(E23=0,0,IF(C23=BE13,E23,IF(C23=BE14,E23+2,E23+3)))-IF(E22=0,0,IF(C22=BE13,E22,IF(C22=BE14,E22+2,E22+3)))-IF(E21=0,0,IF(C21=BE13,E21,IF(C21=BE14,E21+2,E21+3)))-44-IF(C20=BE14,2,IF(C20=BE15,3,0))-E5*BJ5</f>
        <v>2476</v>
      </c>
      <c r="F20" s="74">
        <f>IF(C20=$BE$15,$K$5-63,IF(C20=$BE$14,$K$5-62,$K$5-60))</f>
        <v>426</v>
      </c>
      <c r="G20" s="75">
        <f>$E$9*2</f>
        <v>2</v>
      </c>
      <c r="H20" s="76">
        <f>E20*F20*D20*G20/1000000</f>
        <v>0</v>
      </c>
      <c r="J20" s="508" t="s">
        <v>187</v>
      </c>
      <c r="K20" s="473"/>
      <c r="L20" s="473"/>
      <c r="M20" s="345"/>
      <c r="N20" s="6"/>
      <c r="O20" s="13"/>
      <c r="R20" s="354"/>
      <c r="T20" s="330"/>
      <c r="U20" s="426" t="s">
        <v>106</v>
      </c>
      <c r="V20" s="426"/>
      <c r="W20" s="426"/>
      <c r="X20" s="426"/>
      <c r="Y20" s="426"/>
      <c r="Z20" s="426"/>
      <c r="AA20" s="426"/>
      <c r="AB20" s="426"/>
      <c r="AC20" s="426"/>
      <c r="AD20" s="426"/>
      <c r="AE20" s="426"/>
      <c r="AF20" s="426"/>
      <c r="AG20" s="426"/>
      <c r="AH20" s="427"/>
      <c r="AI20" s="6"/>
      <c r="BG20" s="309">
        <f>IF(E20&lt;&gt;0,1,0)</f>
        <v>1</v>
      </c>
    </row>
    <row r="21" spans="2:66" ht="25.05" customHeight="1" x14ac:dyDescent="0.3">
      <c r="B21" s="73" t="s">
        <v>119</v>
      </c>
      <c r="C21" s="15" t="s">
        <v>11</v>
      </c>
      <c r="D21" s="96">
        <v>0</v>
      </c>
      <c r="E21" s="17">
        <v>0</v>
      </c>
      <c r="F21" s="74">
        <f>IF(C21=$BE$15,$K$5-63,IF(C21=$BE$14,$K$5-62,$K$5-60))</f>
        <v>429</v>
      </c>
      <c r="G21" s="75">
        <f>IF(E21&lt;&gt;0,$E$9*2,0)</f>
        <v>0</v>
      </c>
      <c r="H21" s="76">
        <f t="shared" ref="H21:H24" si="13">E21*F21*D21*G21/1000000</f>
        <v>0</v>
      </c>
      <c r="J21" s="468" t="s">
        <v>0</v>
      </c>
      <c r="K21" s="469"/>
      <c r="L21" s="469"/>
      <c r="M21" s="469"/>
      <c r="N21" s="341" t="s">
        <v>1</v>
      </c>
      <c r="O21" s="243" t="s">
        <v>9</v>
      </c>
      <c r="P21" s="143"/>
      <c r="Q21" s="143"/>
      <c r="R21" s="265" t="s">
        <v>25</v>
      </c>
      <c r="S21" s="143"/>
      <c r="T21" s="352"/>
      <c r="U21" s="97">
        <v>1000</v>
      </c>
      <c r="V21" s="97">
        <v>1250</v>
      </c>
      <c r="W21" s="97">
        <v>1800</v>
      </c>
      <c r="X21" s="97">
        <v>2000</v>
      </c>
      <c r="Y21" s="97">
        <v>2500</v>
      </c>
      <c r="Z21" s="97">
        <v>2700</v>
      </c>
      <c r="AA21" s="97">
        <v>3000</v>
      </c>
      <c r="AB21" s="97">
        <v>3600</v>
      </c>
      <c r="AC21" s="97">
        <v>3750</v>
      </c>
      <c r="AD21" s="97">
        <v>4000</v>
      </c>
      <c r="AE21" s="97">
        <v>5000</v>
      </c>
      <c r="AF21" s="97">
        <v>5400</v>
      </c>
      <c r="AG21" s="209" t="s">
        <v>107</v>
      </c>
      <c r="AH21" s="53" t="s">
        <v>25</v>
      </c>
      <c r="AI21" s="6"/>
      <c r="AK21" s="97">
        <v>1000</v>
      </c>
      <c r="AL21" s="97">
        <v>1250</v>
      </c>
      <c r="AM21" s="97">
        <v>1800</v>
      </c>
      <c r="AN21" s="97">
        <v>2000</v>
      </c>
      <c r="AO21" s="97">
        <v>2500</v>
      </c>
      <c r="AP21" s="97">
        <v>2700</v>
      </c>
      <c r="AQ21" s="97">
        <v>3000</v>
      </c>
      <c r="AR21" s="97">
        <v>3600</v>
      </c>
      <c r="AS21" s="97">
        <v>3750</v>
      </c>
      <c r="AT21" s="97">
        <v>4000</v>
      </c>
      <c r="AU21" s="97">
        <v>5000</v>
      </c>
      <c r="AV21" s="145">
        <v>5400</v>
      </c>
      <c r="AW21" s="191"/>
      <c r="AX21" s="190"/>
      <c r="AY21" s="190"/>
      <c r="AZ21" s="190"/>
      <c r="BA21" s="190"/>
      <c r="BB21" s="190"/>
      <c r="BC21" s="190"/>
      <c r="BG21" s="309">
        <f>IF(E21&lt;&gt;0,1,0)</f>
        <v>0</v>
      </c>
      <c r="BN21" s="1" t="s">
        <v>449</v>
      </c>
    </row>
    <row r="22" spans="2:66" ht="25.05" customHeight="1" x14ac:dyDescent="0.3">
      <c r="B22" s="73" t="s">
        <v>120</v>
      </c>
      <c r="C22" s="15" t="s">
        <v>11</v>
      </c>
      <c r="D22" s="96">
        <v>0</v>
      </c>
      <c r="E22" s="17">
        <v>0</v>
      </c>
      <c r="F22" s="74">
        <f>IF(C22=$BE$15,$K$5-63,IF(C22=$BE$14,$K$5-62,$K$5-60))</f>
        <v>429</v>
      </c>
      <c r="G22" s="75">
        <f>IF(E22&lt;&gt;0,$E$9*2,0)</f>
        <v>0</v>
      </c>
      <c r="H22" s="76">
        <f t="shared" si="13"/>
        <v>0</v>
      </c>
      <c r="J22" s="417" t="s">
        <v>72</v>
      </c>
      <c r="K22" s="418"/>
      <c r="L22" s="418"/>
      <c r="M22" s="418"/>
      <c r="N22" s="240" t="s">
        <v>220</v>
      </c>
      <c r="O22" s="236">
        <f>E9</f>
        <v>1</v>
      </c>
      <c r="P22" s="255"/>
      <c r="Q22" s="255"/>
      <c r="R22" s="266">
        <f>O22*Цены!I129</f>
        <v>538.57000000000005</v>
      </c>
      <c r="S22" s="247"/>
      <c r="T22" s="331" t="str">
        <f>J9</f>
        <v>вертикальный профиль</v>
      </c>
      <c r="U22" s="126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362">
        <f>AV22</f>
        <v>2</v>
      </c>
      <c r="AG22" s="126"/>
      <c r="AH22" s="363">
        <f>$R$9</f>
        <v>8773.9599999999991</v>
      </c>
      <c r="AI22" s="6"/>
      <c r="AK22" s="144"/>
      <c r="AL22" s="144"/>
      <c r="AM22" s="144"/>
      <c r="AN22" s="144"/>
      <c r="AO22" s="144"/>
      <c r="AP22" s="144"/>
      <c r="AQ22" s="144"/>
      <c r="AR22" s="144"/>
      <c r="AS22" s="144"/>
      <c r="AT22" s="144"/>
      <c r="AU22" s="144"/>
      <c r="AV22" s="326">
        <f>O9</f>
        <v>2</v>
      </c>
      <c r="AW22" s="144"/>
      <c r="AX22" s="192"/>
      <c r="AY22" s="192"/>
      <c r="AZ22" s="192"/>
      <c r="BA22" s="192"/>
      <c r="BB22" s="192"/>
      <c r="BC22" s="192"/>
      <c r="BG22" s="309">
        <f>IF(E22&lt;&gt;0,1,0)</f>
        <v>0</v>
      </c>
      <c r="BN22" s="1" t="s">
        <v>454</v>
      </c>
    </row>
    <row r="23" spans="2:66" ht="25.05" customHeight="1" x14ac:dyDescent="0.3">
      <c r="B23" s="73" t="s">
        <v>121</v>
      </c>
      <c r="C23" s="15" t="s">
        <v>13</v>
      </c>
      <c r="D23" s="96">
        <v>0</v>
      </c>
      <c r="E23" s="17">
        <v>0</v>
      </c>
      <c r="F23" s="74">
        <f>IF(C23=$BE$15,$K$5-63,IF(C23=$BE$14,$K$5-62,$K$5-60))</f>
        <v>426</v>
      </c>
      <c r="G23" s="75">
        <f>IF(E23&lt;&gt;0,$E$9*2,0)</f>
        <v>0</v>
      </c>
      <c r="H23" s="76">
        <f t="shared" si="13"/>
        <v>0</v>
      </c>
      <c r="J23" s="417" t="s">
        <v>64</v>
      </c>
      <c r="K23" s="418"/>
      <c r="L23" s="418"/>
      <c r="M23" s="418"/>
      <c r="N23" s="240" t="s">
        <v>221</v>
      </c>
      <c r="O23" s="236">
        <f>E9</f>
        <v>1</v>
      </c>
      <c r="P23" s="255"/>
      <c r="Q23" s="255"/>
      <c r="R23" s="266">
        <f>O23*Цены!I115</f>
        <v>515.45000000000005</v>
      </c>
      <c r="S23" s="247"/>
      <c r="T23" s="331" t="str">
        <f t="shared" ref="T23:T29" si="14">J10</f>
        <v>направляющая верхняя</v>
      </c>
      <c r="U23" s="362">
        <f>AK23</f>
        <v>0</v>
      </c>
      <c r="V23" s="362"/>
      <c r="W23" s="362">
        <f t="shared" ref="W23:W29" si="15">AM23</f>
        <v>0</v>
      </c>
      <c r="X23" s="362">
        <f t="shared" ref="X23:X29" si="16">AN23</f>
        <v>0</v>
      </c>
      <c r="Y23" s="362">
        <f t="shared" ref="Y23:Y29" si="17">AO23</f>
        <v>1</v>
      </c>
      <c r="Z23" s="362">
        <f t="shared" ref="Z23:Z29" si="18">AP23</f>
        <v>0</v>
      </c>
      <c r="AA23" s="362">
        <f t="shared" ref="AA23:AA29" si="19">AQ23</f>
        <v>0</v>
      </c>
      <c r="AB23" s="362">
        <f t="shared" ref="AB23:AB29" si="20">AR23</f>
        <v>0</v>
      </c>
      <c r="AC23" s="362"/>
      <c r="AD23" s="362">
        <f>AT23</f>
        <v>0</v>
      </c>
      <c r="AE23" s="362">
        <f>AU23</f>
        <v>0</v>
      </c>
      <c r="AF23" s="362">
        <f>AV23</f>
        <v>0</v>
      </c>
      <c r="AG23" s="364">
        <f>Y23*Y21++AE23*$AE$8</f>
        <v>2500</v>
      </c>
      <c r="AH23" s="347">
        <f>IF(OR($E$7=$AK$48,$E$7=$AK$54,$E$7=$AK$51),Y23*Цены!I25*0.5+AE23*Цены!I25,
Y23*Цены!I24*0.5+AE23*Цены!I24)</f>
        <v>2357.71</v>
      </c>
      <c r="AI23" s="6"/>
      <c r="AK23" s="146"/>
      <c r="AL23" s="146"/>
      <c r="AM23" s="146"/>
      <c r="AN23" s="146"/>
      <c r="AO23" s="144">
        <f>IF(AND(AW23&gt;0,AW23&lt;=2500),1,0)</f>
        <v>1</v>
      </c>
      <c r="AP23" s="146"/>
      <c r="AQ23" s="146"/>
      <c r="AR23" s="146"/>
      <c r="AS23" s="146"/>
      <c r="AT23" s="146"/>
      <c r="AU23" s="144">
        <f>IF(AND(AW23&gt;2500,AW23&lt;=5000),AX23+1,AX23)</f>
        <v>0</v>
      </c>
      <c r="AV23" s="146"/>
      <c r="AW23" s="189">
        <f>AW10</f>
        <v>998</v>
      </c>
      <c r="AX23" s="189">
        <f>AX10</f>
        <v>0</v>
      </c>
      <c r="AY23" s="144"/>
      <c r="AZ23" s="144"/>
      <c r="BA23" s="144"/>
      <c r="BB23" s="144"/>
      <c r="BC23" s="144"/>
      <c r="BG23" s="309">
        <f>IF(E23&lt;&gt;0,1,0)</f>
        <v>0</v>
      </c>
      <c r="BN23" s="1" t="s">
        <v>451</v>
      </c>
    </row>
    <row r="24" spans="2:66" ht="25.05" customHeight="1" thickBot="1" x14ac:dyDescent="0.35">
      <c r="B24" s="81" t="s">
        <v>122</v>
      </c>
      <c r="C24" s="15" t="s">
        <v>13</v>
      </c>
      <c r="D24" s="96">
        <v>0</v>
      </c>
      <c r="E24" s="17">
        <v>0</v>
      </c>
      <c r="F24" s="74">
        <f>IF(C24=$BE$15,$K$5-63,IF(C24=$BE$14,$K$5-62,$K$5-60))</f>
        <v>426</v>
      </c>
      <c r="G24" s="75">
        <f>IF(E24&lt;&gt;0,$E$9*2,0)</f>
        <v>0</v>
      </c>
      <c r="H24" s="76">
        <f t="shared" si="13"/>
        <v>0</v>
      </c>
      <c r="J24" s="417" t="s">
        <v>94</v>
      </c>
      <c r="K24" s="418"/>
      <c r="L24" s="418"/>
      <c r="M24" s="418"/>
      <c r="N24" s="240" t="s">
        <v>222</v>
      </c>
      <c r="O24" s="236">
        <f>IF(AND(E9=BE9,E10=BE19),1,IF(E9=BE10,1,0))</f>
        <v>0</v>
      </c>
      <c r="P24" s="255"/>
      <c r="Q24" s="255"/>
      <c r="R24" s="266">
        <f>O24*Цены!I116</f>
        <v>0</v>
      </c>
      <c r="S24" s="247"/>
      <c r="T24" s="331" t="str">
        <f t="shared" si="14"/>
        <v>направляющая верхняя</v>
      </c>
      <c r="U24" s="362">
        <f t="shared" ref="U24:U29" si="21">AK24</f>
        <v>0</v>
      </c>
      <c r="V24" s="362"/>
      <c r="W24" s="362">
        <f t="shared" si="15"/>
        <v>0</v>
      </c>
      <c r="X24" s="362">
        <f t="shared" si="16"/>
        <v>0</v>
      </c>
      <c r="Y24" s="362">
        <f t="shared" si="17"/>
        <v>0</v>
      </c>
      <c r="Z24" s="362">
        <f t="shared" si="18"/>
        <v>0</v>
      </c>
      <c r="AA24" s="362">
        <f t="shared" si="19"/>
        <v>0</v>
      </c>
      <c r="AB24" s="362">
        <f t="shared" si="20"/>
        <v>0</v>
      </c>
      <c r="AC24" s="362"/>
      <c r="AD24" s="362">
        <f t="shared" ref="AD24:AD29" si="22">AT24</f>
        <v>0</v>
      </c>
      <c r="AE24" s="362">
        <f t="shared" ref="AE24:AE29" si="23">AU24</f>
        <v>0</v>
      </c>
      <c r="AF24" s="362">
        <f t="shared" ref="AF24:AF29" si="24">AV24</f>
        <v>0</v>
      </c>
      <c r="AG24" s="364">
        <f>Z24*Z21++AF24*AF21</f>
        <v>0</v>
      </c>
      <c r="AH24" s="363">
        <f>IF($E$7=$AK$47,(Z24*0.5+AF24)*Цены!I60,
IF($E$7=$AK$48,(Z24*0.5+AF24)*Цены!I61,
IF($E$7=$AK$49,(Z24*0.5+AF24)*Цены!I62,
IF($E$7=$AK$50,(Z24*0.5+AF24)*Цены!I63,
(Z24*0.5+AF24)*Цены!I66))))</f>
        <v>0</v>
      </c>
      <c r="AI24" s="6"/>
      <c r="AK24" s="146"/>
      <c r="AL24" s="146"/>
      <c r="AM24" s="146"/>
      <c r="AN24" s="146"/>
      <c r="AO24" s="146"/>
      <c r="AP24" s="144">
        <f>IF(AND(AW24&gt;0,AW24&lt;=2700),1,0)</f>
        <v>0</v>
      </c>
      <c r="AQ24" s="146"/>
      <c r="AR24" s="146"/>
      <c r="AS24" s="146"/>
      <c r="AT24" s="146"/>
      <c r="AU24" s="146"/>
      <c r="AV24" s="144">
        <f>IF(AND(AW24&gt;2700,AW24&lt;=5400),AX24+1,AX24)</f>
        <v>0</v>
      </c>
      <c r="AW24" s="189">
        <f t="shared" ref="AW24:AX28" si="25">AW11</f>
        <v>0</v>
      </c>
      <c r="AX24" s="189">
        <f t="shared" si="25"/>
        <v>0</v>
      </c>
      <c r="AY24" s="144"/>
      <c r="AZ24" s="144"/>
      <c r="BA24" s="192"/>
      <c r="BB24" s="192"/>
      <c r="BC24" s="192"/>
      <c r="BG24" s="309">
        <f>IF(E24&lt;&gt;0,1,0)</f>
        <v>0</v>
      </c>
      <c r="BN24" s="1" t="s">
        <v>452</v>
      </c>
    </row>
    <row r="25" spans="2:66" ht="25.05" customHeight="1" thickBot="1" x14ac:dyDescent="0.35">
      <c r="B25" s="67"/>
      <c r="C25" s="101"/>
      <c r="D25" s="68"/>
      <c r="E25" s="433" t="s">
        <v>85</v>
      </c>
      <c r="F25" s="433"/>
      <c r="G25" s="434"/>
      <c r="H25" s="339">
        <f>SUM(H20:H24)</f>
        <v>0</v>
      </c>
      <c r="I25" s="55"/>
      <c r="J25" s="417" t="s">
        <v>93</v>
      </c>
      <c r="K25" s="418"/>
      <c r="L25" s="418"/>
      <c r="M25" s="418"/>
      <c r="N25" s="240" t="s">
        <v>223</v>
      </c>
      <c r="O25" s="236">
        <f>IF(AND(E9=BE9,E10=BE18),1,IF(E9=BE10,1,0))</f>
        <v>1</v>
      </c>
      <c r="P25" s="255"/>
      <c r="Q25" s="255"/>
      <c r="R25" s="266">
        <f>O25*Цены!I116</f>
        <v>350.87</v>
      </c>
      <c r="S25" s="247"/>
      <c r="T25" s="331" t="str">
        <f t="shared" si="14"/>
        <v>накладка декоративная</v>
      </c>
      <c r="U25" s="362">
        <f t="shared" si="21"/>
        <v>0</v>
      </c>
      <c r="V25" s="362"/>
      <c r="W25" s="362">
        <f t="shared" si="15"/>
        <v>0</v>
      </c>
      <c r="X25" s="362">
        <f t="shared" si="16"/>
        <v>0</v>
      </c>
      <c r="Y25" s="362">
        <f t="shared" si="17"/>
        <v>1</v>
      </c>
      <c r="Z25" s="362">
        <f t="shared" si="18"/>
        <v>0</v>
      </c>
      <c r="AA25" s="362">
        <f t="shared" si="19"/>
        <v>0</v>
      </c>
      <c r="AB25" s="362">
        <f t="shared" si="20"/>
        <v>0</v>
      </c>
      <c r="AC25" s="362"/>
      <c r="AD25" s="362">
        <f t="shared" si="22"/>
        <v>0</v>
      </c>
      <c r="AE25" s="362">
        <f t="shared" si="23"/>
        <v>0</v>
      </c>
      <c r="AF25" s="362">
        <f t="shared" si="24"/>
        <v>0</v>
      </c>
      <c r="AG25" s="364">
        <f>Y25*Y21+AE25*$AE$8</f>
        <v>2500</v>
      </c>
      <c r="AH25" s="347">
        <f>IF($E$7=$AK$47,(Y25*0.5+AE25)*Цены!$I$16,
IF($E$7=$AK$48,(Y25*0.5+AE25)*Цены!$I$17,
IF($E$7=$AK$49,(Y25*0.5+AE25)*Цены!$I$18,
IF($E$7=AK63,(Y25*0.5+AE25)*Цены!$I$19,
(Y25*0.5+AE25)*Цены!$I$22))))</f>
        <v>767.36500000000001</v>
      </c>
      <c r="AI25" s="6"/>
      <c r="AK25" s="146"/>
      <c r="AL25" s="146"/>
      <c r="AM25" s="146"/>
      <c r="AN25" s="146"/>
      <c r="AO25" s="144">
        <f>IF(AND(AW25&gt;0,AW25&lt;=2500),1,0)</f>
        <v>1</v>
      </c>
      <c r="AP25" s="146"/>
      <c r="AQ25" s="146"/>
      <c r="AR25" s="146"/>
      <c r="AS25" s="146"/>
      <c r="AT25" s="146"/>
      <c r="AU25" s="144">
        <f>IF(AND(AW25&gt;2500,AW25&lt;=5000),AX25+1,AX25)</f>
        <v>0</v>
      </c>
      <c r="AV25" s="146"/>
      <c r="AW25" s="189">
        <f t="shared" si="25"/>
        <v>998</v>
      </c>
      <c r="AX25" s="189">
        <f t="shared" si="25"/>
        <v>0</v>
      </c>
      <c r="AY25" s="144"/>
      <c r="AZ25" s="144"/>
      <c r="BA25" s="192"/>
      <c r="BB25" s="192"/>
      <c r="BC25" s="192"/>
      <c r="BN25" s="1" t="s">
        <v>453</v>
      </c>
    </row>
    <row r="26" spans="2:66" ht="25.05" customHeight="1" x14ac:dyDescent="0.3">
      <c r="B26" s="67"/>
      <c r="C26" s="505" t="str">
        <f>IF((SUM(BG20:BG24)/C16)&lt;&gt;1,BE39,BE40)</f>
        <v>Верно внесены высоты вставок</v>
      </c>
      <c r="D26" s="505"/>
      <c r="E26" s="358">
        <f>IF(C26=BE40,1,0)</f>
        <v>1</v>
      </c>
      <c r="F26" s="358"/>
      <c r="G26" s="358"/>
      <c r="H26" s="69"/>
      <c r="I26" s="55"/>
      <c r="J26" s="417" t="s">
        <v>66</v>
      </c>
      <c r="K26" s="418"/>
      <c r="L26" s="418"/>
      <c r="M26" s="418"/>
      <c r="N26" s="240" t="s">
        <v>224</v>
      </c>
      <c r="O26" s="236">
        <f>E9*2</f>
        <v>2</v>
      </c>
      <c r="P26" s="255"/>
      <c r="Q26" s="255"/>
      <c r="R26" s="266">
        <f>O26*Цены!I122</f>
        <v>814.38</v>
      </c>
      <c r="S26" s="247"/>
      <c r="T26" s="331" t="str">
        <f t="shared" si="14"/>
        <v>рамка верхняя</v>
      </c>
      <c r="U26" s="362">
        <f t="shared" si="21"/>
        <v>0</v>
      </c>
      <c r="V26" s="362">
        <f t="shared" ref="V26" si="26">AL26</f>
        <v>1</v>
      </c>
      <c r="W26" s="362">
        <f t="shared" si="15"/>
        <v>0</v>
      </c>
      <c r="X26" s="362">
        <f t="shared" si="16"/>
        <v>0</v>
      </c>
      <c r="Y26" s="362">
        <f t="shared" si="17"/>
        <v>0</v>
      </c>
      <c r="Z26" s="362">
        <f t="shared" si="18"/>
        <v>0</v>
      </c>
      <c r="AA26" s="362">
        <f t="shared" si="19"/>
        <v>0</v>
      </c>
      <c r="AB26" s="362">
        <f t="shared" si="20"/>
        <v>0</v>
      </c>
      <c r="AC26" s="362">
        <f t="shared" ref="AC26" si="27">AS26</f>
        <v>0</v>
      </c>
      <c r="AD26" s="362">
        <f t="shared" si="22"/>
        <v>0</v>
      </c>
      <c r="AE26" s="362">
        <f t="shared" si="23"/>
        <v>0</v>
      </c>
      <c r="AF26" s="362">
        <f t="shared" si="24"/>
        <v>0</v>
      </c>
      <c r="AG26" s="364">
        <f>V26*$V$21+Y26*$Y$21+AC26*$AC$21++AE26*$AE$21</f>
        <v>1250</v>
      </c>
      <c r="AH26" s="355">
        <f>IF($E$7=$AK$47,(V26*0.25+Y26*0.5+AC26*0.75+AE26)*Цены!$I$29,
IF($E$7=$AK$48,(V26*0.25+Y26*0.5+AC26*0.75+AE26)*Цены!$I$30,
IF($E$7=$AK$49,(V26*0.25+Y26*0.5+AC26*0.75+AE26)*Цены!$I$31,
IF($E$7=$AK$50,(V26*0.25+Y26*0.5+AC26*0.75+AE26)*Цены!$I$32,
(V26*0.25+Y26*0.5+AC26*0.75+AE26)*Цены!$I$35))))</f>
        <v>662.21500000000003</v>
      </c>
      <c r="AI26" s="6"/>
      <c r="AJ26" s="55" t="s">
        <v>282</v>
      </c>
      <c r="AK26" s="146"/>
      <c r="AL26" s="144">
        <f>IF(AND(AW26&gt;0,AW26&lt;=1250),1,0)</f>
        <v>1</v>
      </c>
      <c r="AM26" s="146"/>
      <c r="AN26" s="146"/>
      <c r="AO26" s="144">
        <f>IF(AND(AW26&gt;1250,AW26&lt;=2500),1,0)</f>
        <v>0</v>
      </c>
      <c r="AP26" s="146"/>
      <c r="AQ26" s="146"/>
      <c r="AR26" s="146"/>
      <c r="AS26" s="144">
        <f>IF(AND(AW26&gt;2500,AW26&lt;=3750),1,0)</f>
        <v>0</v>
      </c>
      <c r="AT26" s="146"/>
      <c r="AU26" s="144">
        <f>IF(AND(AW26&gt;3750,AW26&lt;=5000),AX26+1,AX26)</f>
        <v>0</v>
      </c>
      <c r="AV26" s="146"/>
      <c r="AW26" s="189">
        <f t="shared" si="25"/>
        <v>822</v>
      </c>
      <c r="AX26" s="189">
        <f t="shared" si="25"/>
        <v>0</v>
      </c>
      <c r="AY26" s="144"/>
      <c r="AZ26" s="144"/>
      <c r="BA26" s="192"/>
      <c r="BB26" s="192"/>
      <c r="BC26" s="192"/>
      <c r="BN26" s="1" t="s">
        <v>450</v>
      </c>
    </row>
    <row r="27" spans="2:66" ht="25.05" customHeight="1" x14ac:dyDescent="0.3">
      <c r="B27" s="67"/>
      <c r="C27" s="68"/>
      <c r="D27" s="68"/>
      <c r="E27" s="68"/>
      <c r="F27" s="68"/>
      <c r="G27" s="68"/>
      <c r="H27" s="69"/>
      <c r="I27" s="55"/>
      <c r="J27" s="417" t="s">
        <v>77</v>
      </c>
      <c r="K27" s="418"/>
      <c r="L27" s="418"/>
      <c r="M27" s="418"/>
      <c r="N27" s="240" t="s">
        <v>213</v>
      </c>
      <c r="O27" s="291">
        <f>E9</f>
        <v>1</v>
      </c>
      <c r="P27" s="277"/>
      <c r="Q27" s="277"/>
      <c r="R27" s="294">
        <f>O27*Цены!I135</f>
        <v>169.82</v>
      </c>
      <c r="S27" s="280"/>
      <c r="T27" s="331" t="str">
        <f t="shared" si="14"/>
        <v>рамка нижняя</v>
      </c>
      <c r="U27" s="362">
        <f t="shared" si="21"/>
        <v>0</v>
      </c>
      <c r="V27" s="362"/>
      <c r="W27" s="362">
        <f t="shared" si="15"/>
        <v>0</v>
      </c>
      <c r="X27" s="362">
        <f t="shared" si="16"/>
        <v>0</v>
      </c>
      <c r="Y27" s="362">
        <f t="shared" si="17"/>
        <v>0</v>
      </c>
      <c r="Z27" s="362">
        <f t="shared" si="18"/>
        <v>0</v>
      </c>
      <c r="AA27" s="362">
        <f t="shared" si="19"/>
        <v>0</v>
      </c>
      <c r="AB27" s="362">
        <f t="shared" si="20"/>
        <v>0</v>
      </c>
      <c r="AC27" s="362"/>
      <c r="AD27" s="362">
        <f t="shared" si="22"/>
        <v>0</v>
      </c>
      <c r="AE27" s="362">
        <f t="shared" si="23"/>
        <v>0</v>
      </c>
      <c r="AF27" s="362">
        <f t="shared" si="24"/>
        <v>0</v>
      </c>
      <c r="AG27" s="364">
        <f>V27*$V$21+Y27*$Y$21+AC27*$AC$21++AE27*$AE$21</f>
        <v>0</v>
      </c>
      <c r="AH27" s="355">
        <f>IF($E$7=$AK$47,(V27*0.25+Y27*0.5+AC27*0.75+AE27)*Цены!$I$37,
IF($E$7=$AK$48,(V27*0.25+Y27*0.5+AC27*0.75+AE27)*Цены!$I$38,
IF($E$7=$AK$49,(V27*0.25+Y27*0.5+AC27*0.75+AE27)*Цены!$I$39,
IF($E$7=$AK$50,(V27*0.25+Y27*0.5+AC27*0.75+AE27)*Цены!$I$40,
(V27*0.25+Y27*0.5+AC27*0.75+AE27)*Цены!$I$43))))</f>
        <v>0</v>
      </c>
      <c r="AI27" s="6"/>
      <c r="AJ27" s="149">
        <f>IF(C20=$BE$13,(F20*E20/1000000)*8,IF(C20=$BE$14,(F20*E20/1000000)*6.5,(F20*E20/1000000)*11))</f>
        <v>11.602535999999999</v>
      </c>
      <c r="AK27" s="146"/>
      <c r="AL27" s="144">
        <f t="shared" ref="AL27:AL28" si="28">IF(AND(AW27&gt;0,AW27&lt;=1250),1,0)</f>
        <v>1</v>
      </c>
      <c r="AM27" s="146"/>
      <c r="AN27" s="146"/>
      <c r="AO27" s="144">
        <f t="shared" ref="AO27:AO28" si="29">IF(AND(AW27&gt;1250,AW27&lt;=2500),1,0)</f>
        <v>0</v>
      </c>
      <c r="AP27" s="146"/>
      <c r="AQ27" s="146"/>
      <c r="AR27" s="146"/>
      <c r="AS27" s="144">
        <f t="shared" ref="AS27:AS28" si="30">IF(AND(AW27&gt;2500,AW27&lt;=3750),1,0)</f>
        <v>0</v>
      </c>
      <c r="AT27" s="146"/>
      <c r="AU27" s="144">
        <f>IF(AND(AW27&gt;3750,AW27&lt;=5000),AX27+1,AX27)</f>
        <v>0</v>
      </c>
      <c r="AV27" s="146"/>
      <c r="AW27" s="189">
        <f t="shared" si="25"/>
        <v>822</v>
      </c>
      <c r="AX27" s="189">
        <f t="shared" si="25"/>
        <v>0</v>
      </c>
      <c r="AY27" s="144"/>
      <c r="AZ27" s="144"/>
      <c r="BA27" s="192"/>
      <c r="BB27" s="192" t="s">
        <v>277</v>
      </c>
      <c r="BC27" s="193" t="s">
        <v>278</v>
      </c>
    </row>
    <row r="28" spans="2:66" ht="25.05" customHeight="1" x14ac:dyDescent="0.3">
      <c r="B28" s="67"/>
      <c r="C28" s="85"/>
      <c r="D28" s="85"/>
      <c r="E28" s="86"/>
      <c r="F28" s="86"/>
      <c r="G28" s="6"/>
      <c r="H28" s="69"/>
      <c r="I28" s="55"/>
      <c r="J28" s="417" t="s">
        <v>44</v>
      </c>
      <c r="K28" s="418"/>
      <c r="L28" s="418"/>
      <c r="M28" s="418"/>
      <c r="N28" s="240" t="s">
        <v>216</v>
      </c>
      <c r="O28" s="235">
        <f>IF(E12&lt;500,2*E9,E9*ROUNDDOWN(E12/500+1,0))</f>
        <v>2</v>
      </c>
      <c r="P28" s="254"/>
      <c r="Q28" s="254"/>
      <c r="R28" s="294">
        <f>O28*Цены!I78</f>
        <v>642.70000000000005</v>
      </c>
      <c r="S28" s="280"/>
      <c r="T28" s="331" t="str">
        <f t="shared" si="14"/>
        <v>рамка средняя 4в1</v>
      </c>
      <c r="U28" s="362">
        <f t="shared" si="21"/>
        <v>0</v>
      </c>
      <c r="V28" s="362">
        <f t="shared" ref="V28:V29" si="31">AL28</f>
        <v>0</v>
      </c>
      <c r="W28" s="362">
        <f t="shared" si="15"/>
        <v>0</v>
      </c>
      <c r="X28" s="362">
        <f t="shared" si="16"/>
        <v>0</v>
      </c>
      <c r="Y28" s="362">
        <f t="shared" si="17"/>
        <v>0</v>
      </c>
      <c r="Z28" s="362">
        <f t="shared" si="18"/>
        <v>0</v>
      </c>
      <c r="AA28" s="362">
        <f t="shared" si="19"/>
        <v>0</v>
      </c>
      <c r="AB28" s="362">
        <f t="shared" si="20"/>
        <v>0</v>
      </c>
      <c r="AC28" s="362">
        <f t="shared" ref="AC28:AC29" si="32">AS28</f>
        <v>0</v>
      </c>
      <c r="AD28" s="362">
        <f t="shared" si="22"/>
        <v>0</v>
      </c>
      <c r="AE28" s="362">
        <f t="shared" si="23"/>
        <v>0</v>
      </c>
      <c r="AF28" s="362">
        <f t="shared" si="24"/>
        <v>0</v>
      </c>
      <c r="AG28" s="364">
        <f>V28*V21+W28*W21+Y28*Y21+Z28*Z21+AB28*AB21+AC28*AC21+AE28*AE21+AF28*AF21</f>
        <v>0</v>
      </c>
      <c r="AH28" s="355">
        <f>IF($E$6=$BH$5,BC28,BB28)</f>
        <v>0</v>
      </c>
      <c r="AI28" s="6"/>
      <c r="AJ28" s="149">
        <f>IF(C21=$BE$13,(F21*E21/1000000)*8,IF(C21=$BE$14,(F21*E21/1000000)*6.5,(F21*E21/1000000)*11))</f>
        <v>0</v>
      </c>
      <c r="AK28" s="146"/>
      <c r="AL28" s="194">
        <f t="shared" si="28"/>
        <v>0</v>
      </c>
      <c r="AM28" s="195">
        <f>IF(AND(J28=BH18,AZ28&gt;0,AZ28&lt;=1800),1,0)</f>
        <v>0</v>
      </c>
      <c r="AN28" s="146"/>
      <c r="AO28" s="194">
        <f t="shared" si="29"/>
        <v>0</v>
      </c>
      <c r="AP28" s="195">
        <f>IF(AND(J28=BH18,AZ28&gt;1800,AZ28&lt;=2700),1,0)</f>
        <v>0</v>
      </c>
      <c r="AQ28" s="146"/>
      <c r="AR28" s="195">
        <f>IF(AND(J28=BH18,AZ28&gt;2700,AZ28&lt;=3600),1,0)</f>
        <v>0</v>
      </c>
      <c r="AS28" s="194">
        <f t="shared" si="30"/>
        <v>0</v>
      </c>
      <c r="AT28" s="146"/>
      <c r="AU28" s="194">
        <f>IF(AND(J28=BH19,AW28&gt;3750,AW28&lt;=5000),AX28+1,AX28)</f>
        <v>0</v>
      </c>
      <c r="AV28" s="195">
        <f>IF(AND(J28=BH18,AZ28&gt;3600,AZ28&lt;=5400),BA28+1,BA28)</f>
        <v>0</v>
      </c>
      <c r="AW28" s="189">
        <f t="shared" si="25"/>
        <v>0</v>
      </c>
      <c r="AX28" s="189">
        <f t="shared" si="25"/>
        <v>0</v>
      </c>
      <c r="AY28" s="144"/>
      <c r="AZ28" s="144">
        <f>AZ15</f>
        <v>0</v>
      </c>
      <c r="BA28" s="144">
        <f>BA15</f>
        <v>0</v>
      </c>
      <c r="BB28" s="192">
        <f>IF($E$7=$AK$47,(V28*0.25+Y28*0.5+AC28*0.75+AE28)*Цены!$I$45,
IF($E$7=$AK$48,(V28*0.25+Y28*0.5+AC28*0.75+AE28)*Цены!$I$46,
IF($E$7=$AK$49,(V28*0.25+Y28*0.5+AC28*0.75+AE28)*Цены!$I$47,
IF($E$7=$AK$50,(V28*0.25+Y28*0.5+AC28*0.75+AE28)*Цены!$I$48,
(V28*0.25+Y28*0.5+AC28*0.75+AE28)*Цены!$I$51))))</f>
        <v>0</v>
      </c>
      <c r="BC28" s="192">
        <f>IF($E$7=$AK$47,(W28*0.34+Z28*0.5+AB28*0.67+AF28)*Цены!$I$69,
IF($E$7=$AK$48,(W28*0.34+Z28*0.5+AB28*0.67+AF28)*Цены!$I$70,
IF($E$7=$AK$49,(W28*0.34+Z28*0.5+AB28*0.67+AF28)*Цены!$I$71,
IF($E$7=$AK$50,(W28*0.34+Z28*0.5+AB28*0.67+AF28)*Цены!$I$71,
(W28*0.34+Z28*0.5+AB28*0.67+AF28)*Цены!$I$75))))</f>
        <v>0</v>
      </c>
    </row>
    <row r="29" spans="2:66" ht="25.05" customHeight="1" thickBot="1" x14ac:dyDescent="0.35">
      <c r="B29" s="67"/>
      <c r="C29" s="68"/>
      <c r="D29" s="68"/>
      <c r="E29" s="68"/>
      <c r="F29" s="68"/>
      <c r="G29" s="6"/>
      <c r="H29" s="69"/>
      <c r="I29" s="55"/>
      <c r="J29" s="417" t="s">
        <v>48</v>
      </c>
      <c r="K29" s="418"/>
      <c r="L29" s="418"/>
      <c r="M29" s="418"/>
      <c r="N29" s="240" t="s">
        <v>217</v>
      </c>
      <c r="O29" s="291">
        <f>E9</f>
        <v>1</v>
      </c>
      <c r="P29" s="277"/>
      <c r="Q29" s="277"/>
      <c r="R29" s="294">
        <f>O29*Цены!I82</f>
        <v>67.09</v>
      </c>
      <c r="S29" s="280"/>
      <c r="T29" s="331" t="str">
        <f t="shared" si="14"/>
        <v>ручка-рейлинг</v>
      </c>
      <c r="U29" s="362">
        <f t="shared" si="21"/>
        <v>0</v>
      </c>
      <c r="V29" s="362">
        <f t="shared" si="31"/>
        <v>0</v>
      </c>
      <c r="W29" s="362">
        <f t="shared" si="15"/>
        <v>0</v>
      </c>
      <c r="X29" s="362">
        <f t="shared" si="16"/>
        <v>0</v>
      </c>
      <c r="Y29" s="362">
        <f t="shared" si="17"/>
        <v>0</v>
      </c>
      <c r="Z29" s="362">
        <f t="shared" si="18"/>
        <v>1</v>
      </c>
      <c r="AA29" s="362">
        <f t="shared" si="19"/>
        <v>0</v>
      </c>
      <c r="AB29" s="362">
        <f t="shared" si="20"/>
        <v>0</v>
      </c>
      <c r="AC29" s="362">
        <f t="shared" si="32"/>
        <v>0</v>
      </c>
      <c r="AD29" s="362">
        <f t="shared" si="22"/>
        <v>0</v>
      </c>
      <c r="AE29" s="362">
        <f t="shared" si="23"/>
        <v>0</v>
      </c>
      <c r="AF29" s="362">
        <f t="shared" si="24"/>
        <v>0</v>
      </c>
      <c r="AG29" s="364">
        <f>Z29*Z21+AF29*AF21</f>
        <v>2700</v>
      </c>
      <c r="AH29" s="317">
        <f>IF(OR($E$7=$AK$47,$E$7=AK66),(Z29*0.5+AF29)*Цены!$I$26,
IF(OR($E$7=AK61,$E$7=AK64,$E$7=AK67),(Z29*0.5+AF29)*Цены!$I$27,
(Z29*0.5+AF29)*Цены!$I$28))</f>
        <v>539.59</v>
      </c>
      <c r="AI29" s="6"/>
      <c r="AJ29" s="149">
        <f>IF(C22=$BE$13,(F22*E22/1000000)*8,IF(C22=$BE$14,(F22*E22/1000000)*6.5,(F22*E22/1000000)*11))</f>
        <v>0</v>
      </c>
      <c r="AK29" s="196"/>
      <c r="AL29" s="196"/>
      <c r="AM29" s="196"/>
      <c r="AN29" s="196"/>
      <c r="AO29" s="196"/>
      <c r="AP29" s="144">
        <f>IF(AND(AZ29&gt;0,AZ29&lt;=2700),1,0)</f>
        <v>1</v>
      </c>
      <c r="AQ29" s="196"/>
      <c r="AR29" s="196"/>
      <c r="AS29" s="196"/>
      <c r="AT29" s="196"/>
      <c r="AU29" s="196"/>
      <c r="AV29" s="144">
        <f>IF(AND(AZ29&gt;2700,AZ29&lt;=5400),BA29+1,BA29)</f>
        <v>0</v>
      </c>
      <c r="AW29" s="189"/>
      <c r="AX29" s="144"/>
      <c r="AY29" s="189"/>
      <c r="AZ29" s="144">
        <f>AZ16</f>
        <v>540</v>
      </c>
      <c r="BA29" s="144">
        <f>BA16</f>
        <v>0</v>
      </c>
      <c r="BB29" s="189"/>
      <c r="BC29" s="189"/>
    </row>
    <row r="30" spans="2:66" ht="25.05" customHeight="1" thickBot="1" x14ac:dyDescent="0.35">
      <c r="B30" s="67"/>
      <c r="C30" s="506" t="str">
        <f>IF(AND(SUM(BG20:BG24)/C16=1,E24=0,C16&lt;&gt;1),BE43,BE44)</f>
        <v xml:space="preserve"> </v>
      </c>
      <c r="D30" s="506"/>
      <c r="E30" s="86"/>
      <c r="F30" s="86"/>
      <c r="G30" s="6"/>
      <c r="H30" s="69"/>
      <c r="I30" s="55"/>
      <c r="J30" s="417" t="s">
        <v>237</v>
      </c>
      <c r="K30" s="418"/>
      <c r="L30" s="418"/>
      <c r="M30" s="418"/>
      <c r="N30" s="240" t="s">
        <v>204</v>
      </c>
      <c r="O30" s="235">
        <f>(M13+M14+M15)*2-O31</f>
        <v>6</v>
      </c>
      <c r="P30" s="254"/>
      <c r="Q30" s="254"/>
      <c r="R30" s="294">
        <f>O30*Цены!I163</f>
        <v>44.88</v>
      </c>
      <c r="S30" s="280"/>
      <c r="T30" s="332"/>
      <c r="U30" s="424" t="s">
        <v>109</v>
      </c>
      <c r="V30" s="424"/>
      <c r="W30" s="424"/>
      <c r="X30" s="424"/>
      <c r="Y30" s="424"/>
      <c r="Z30" s="424"/>
      <c r="AA30" s="424"/>
      <c r="AB30" s="424"/>
      <c r="AC30" s="424"/>
      <c r="AD30" s="424"/>
      <c r="AE30" s="424"/>
      <c r="AF30" s="424"/>
      <c r="AG30" s="425"/>
      <c r="AH30" s="137">
        <f>SUM(AH22:AH29)</f>
        <v>13100.839999999998</v>
      </c>
      <c r="AI30" s="6"/>
      <c r="AJ30" s="149">
        <f>IF(C23=$BE$13,(F23*E23/1000000)*8,IF(C23=$BE$14,(F23*E23/1000000)*6.5,(F23*E23/1000000)*11))</f>
        <v>0</v>
      </c>
      <c r="AK30" s="149"/>
      <c r="AL30" s="149"/>
    </row>
    <row r="31" spans="2:66" ht="25.05" customHeight="1" thickBot="1" x14ac:dyDescent="0.35">
      <c r="B31" s="67"/>
      <c r="C31" s="68"/>
      <c r="D31" s="68"/>
      <c r="E31" s="68"/>
      <c r="F31" s="68"/>
      <c r="G31" s="6"/>
      <c r="H31" s="69"/>
      <c r="I31" s="55"/>
      <c r="J31" s="417" t="s">
        <v>238</v>
      </c>
      <c r="K31" s="418"/>
      <c r="L31" s="418"/>
      <c r="M31" s="418"/>
      <c r="N31" s="240" t="s">
        <v>225</v>
      </c>
      <c r="O31" s="374">
        <f>E9*2</f>
        <v>2</v>
      </c>
      <c r="P31" s="253"/>
      <c r="Q31" s="253"/>
      <c r="R31" s="373">
        <f>O31*Цены!I134</f>
        <v>11.98</v>
      </c>
      <c r="S31" s="281"/>
      <c r="T31" s="321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149">
        <f>IF(C24=$BE$13,(F24*E24/1000000)*8,IF(C24=$BE$14,(F24*E24/1000000)*6.5,(F24*E24/1000000)*11))</f>
        <v>0</v>
      </c>
      <c r="AK31" s="149"/>
      <c r="AL31" s="149"/>
    </row>
    <row r="32" spans="2:66" ht="25.05" customHeight="1" thickBot="1" x14ac:dyDescent="0.35">
      <c r="B32" s="67"/>
      <c r="C32" s="68"/>
      <c r="D32" s="68"/>
      <c r="E32" s="68"/>
      <c r="F32" s="68"/>
      <c r="G32" s="6"/>
      <c r="H32" s="69"/>
      <c r="I32" s="55"/>
      <c r="J32" s="417" t="s">
        <v>88</v>
      </c>
      <c r="K32" s="418"/>
      <c r="L32" s="418"/>
      <c r="M32" s="418"/>
      <c r="N32" s="240" t="s">
        <v>273</v>
      </c>
      <c r="O32" s="237">
        <f>ROUNDUP((IF(C20=BE14,(E20+F20)*2*G20,0)+IF(C21=BE14,(E21+F21)*2*G21,0)+IF(C22=BE14,(E22+F22)*2*G22,0)+IF(C23=BE14,(E23+F23)*2*G23,0)+IF(C24=BE14,(E24+F24)*2*G24,0))/1000,0)</f>
        <v>0</v>
      </c>
      <c r="P32" s="256"/>
      <c r="Q32" s="256"/>
      <c r="R32" s="294">
        <f>O32*Цены!I156</f>
        <v>0</v>
      </c>
      <c r="S32" s="280"/>
      <c r="T32" s="320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297">
        <f>SUM(AJ27:AJ31)*2</f>
        <v>23.205071999999998</v>
      </c>
      <c r="AK32" s="149"/>
      <c r="AL32" s="149"/>
    </row>
    <row r="33" spans="2:57" ht="25.05" customHeight="1" thickBot="1" x14ac:dyDescent="0.4">
      <c r="B33" s="87"/>
      <c r="C33" s="88"/>
      <c r="D33" s="358"/>
      <c r="E33" s="358"/>
      <c r="F33" s="358"/>
      <c r="G33" s="6"/>
      <c r="H33" s="13"/>
      <c r="I33" s="55"/>
      <c r="J33" s="417" t="s">
        <v>90</v>
      </c>
      <c r="K33" s="418"/>
      <c r="L33" s="418"/>
      <c r="M33" s="418"/>
      <c r="N33" s="240" t="s">
        <v>205</v>
      </c>
      <c r="O33" s="237">
        <f>ROUNDUP((IF(C20=BE15,(E20+F20)*2*G20,0)+IF(C21=BE15,(E21+F21)*2*G21,0)+IF(C22=BE15,(E22+F22)*2*G22,0)+IF(C23=BE15,(E23+F23)*2*G23,0)+IF(C24=BE15,(E24+F24)*2*G24,0))/1000,0)</f>
        <v>12</v>
      </c>
      <c r="P33" s="256"/>
      <c r="Q33" s="256"/>
      <c r="R33" s="293">
        <f>O33*Цены!I157</f>
        <v>419.88</v>
      </c>
      <c r="S33" s="281"/>
      <c r="T33" s="321"/>
      <c r="V33" s="338"/>
      <c r="W33" s="338"/>
      <c r="X33" s="338"/>
      <c r="Y33" s="338"/>
      <c r="Z33" s="338"/>
      <c r="AA33" s="338"/>
      <c r="AB33" s="338"/>
      <c r="AC33" s="490" t="s">
        <v>108</v>
      </c>
      <c r="AD33" s="490"/>
      <c r="AE33" s="490"/>
      <c r="AF33" s="490"/>
      <c r="AG33" s="490"/>
      <c r="AH33" s="267">
        <f>IF(Z3=BN21,AH17+H25+R39,AH30+H25+R39)</f>
        <v>17261.654999999999</v>
      </c>
      <c r="AI33" s="6"/>
      <c r="BE33" s="49">
        <v>0</v>
      </c>
    </row>
    <row r="34" spans="2:57" ht="25.05" customHeight="1" x14ac:dyDescent="0.3">
      <c r="B34" s="12"/>
      <c r="C34" s="6"/>
      <c r="D34" s="6"/>
      <c r="E34" s="6"/>
      <c r="F34" s="6"/>
      <c r="G34" s="6"/>
      <c r="H34" s="13"/>
      <c r="I34" s="55"/>
      <c r="J34" s="417" t="s">
        <v>62</v>
      </c>
      <c r="K34" s="418"/>
      <c r="L34" s="418"/>
      <c r="M34" s="418"/>
      <c r="N34" s="130" t="s">
        <v>207</v>
      </c>
      <c r="O34" s="372">
        <f>IF(K5&gt;0,M13+M14+M15,0)</f>
        <v>4</v>
      </c>
      <c r="P34" s="253"/>
      <c r="Q34" s="253"/>
      <c r="R34" s="293">
        <f>O34*Цены!I111</f>
        <v>40.479999999999997</v>
      </c>
      <c r="S34" s="281"/>
      <c r="T34" s="321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BE34" s="49">
        <v>1</v>
      </c>
    </row>
    <row r="35" spans="2:57" ht="25.05" customHeight="1" x14ac:dyDescent="0.35">
      <c r="B35" s="87"/>
      <c r="C35" s="88"/>
      <c r="D35" s="358"/>
      <c r="E35" s="358"/>
      <c r="F35" s="358"/>
      <c r="G35" s="358"/>
      <c r="H35" s="65"/>
      <c r="I35" s="55"/>
      <c r="J35" s="417" t="s">
        <v>82</v>
      </c>
      <c r="K35" s="418"/>
      <c r="L35" s="418"/>
      <c r="M35" s="418"/>
      <c r="N35" s="240" t="s">
        <v>208</v>
      </c>
      <c r="O35" s="238">
        <f>IF(E11=BE50,ROUNDUP(K4*2/1000,0),0)+IF(AND(E9=BE10,E11=BE50),ROUNDUP(K4*2/1000,0),0)</f>
        <v>0</v>
      </c>
      <c r="P35" s="257"/>
      <c r="Q35" s="257"/>
      <c r="R35" s="293">
        <f>O35*Цены!I140</f>
        <v>0</v>
      </c>
      <c r="S35" s="281"/>
      <c r="T35" s="321"/>
      <c r="AI35" s="6"/>
      <c r="BE35" s="49">
        <v>2</v>
      </c>
    </row>
    <row r="36" spans="2:57" ht="25.05" customHeight="1" x14ac:dyDescent="0.35">
      <c r="B36" s="87"/>
      <c r="C36" s="88"/>
      <c r="D36" s="358"/>
      <c r="E36" s="358"/>
      <c r="F36" s="358"/>
      <c r="G36" s="358"/>
      <c r="H36" s="65"/>
      <c r="I36" s="55"/>
      <c r="J36" s="415" t="s">
        <v>135</v>
      </c>
      <c r="K36" s="416"/>
      <c r="L36" s="416"/>
      <c r="M36" s="416"/>
      <c r="N36" s="240" t="str">
        <f>IF(OR(E7=Цены!F9,E7=Цены!F12),Складная!AK62,Складная!AK63)</f>
        <v>AA0996.VM100</v>
      </c>
      <c r="O36" s="238">
        <f>IF(E11=BE49,ROUNDUP(K4*2/1000,0),0)+IF(AND(E9=BE10,E11=BE49),ROUNDUP(K4*2/1000,0),0)</f>
        <v>6</v>
      </c>
      <c r="P36" s="257"/>
      <c r="Q36" s="257"/>
      <c r="R36" s="266">
        <f>IF(N36=AK62,O36*Цены!I159,O36*Цены!J144)</f>
        <v>144.54</v>
      </c>
      <c r="S36" s="247"/>
      <c r="T36" s="319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BE36" s="49">
        <v>3</v>
      </c>
    </row>
    <row r="37" spans="2:57" ht="25.05" customHeight="1" x14ac:dyDescent="0.35">
      <c r="B37" s="87"/>
      <c r="C37" s="88"/>
      <c r="D37" s="358"/>
      <c r="E37" s="358"/>
      <c r="F37" s="358"/>
      <c r="G37" s="358"/>
      <c r="H37" s="65"/>
      <c r="I37" s="55"/>
      <c r="J37" s="415" t="s">
        <v>167</v>
      </c>
      <c r="K37" s="416"/>
      <c r="L37" s="416"/>
      <c r="M37" s="416"/>
      <c r="N37" s="301" t="s">
        <v>210</v>
      </c>
      <c r="O37" s="236">
        <f>IF(E11=BE535,4,0)+IF(E11=BE535,4,0)</f>
        <v>0</v>
      </c>
      <c r="P37" s="255"/>
      <c r="Q37" s="255"/>
      <c r="R37" s="266">
        <f>O37*Цены!I155</f>
        <v>0</v>
      </c>
      <c r="S37" s="247"/>
      <c r="T37" s="319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BE37" s="49">
        <v>4</v>
      </c>
    </row>
    <row r="38" spans="2:57" ht="25.05" customHeight="1" thickBot="1" x14ac:dyDescent="0.4">
      <c r="B38" s="87"/>
      <c r="C38" s="88"/>
      <c r="D38" s="358"/>
      <c r="E38" s="358"/>
      <c r="F38" s="358"/>
      <c r="G38" s="358"/>
      <c r="H38" s="65"/>
      <c r="I38" s="55"/>
      <c r="J38" s="417" t="s">
        <v>80</v>
      </c>
      <c r="K38" s="418"/>
      <c r="L38" s="418"/>
      <c r="M38" s="418"/>
      <c r="N38" s="240" t="s">
        <v>242</v>
      </c>
      <c r="O38" s="374">
        <f>E9</f>
        <v>1</v>
      </c>
      <c r="P38" s="253"/>
      <c r="Q38" s="253"/>
      <c r="R38" s="361">
        <f>O38*Цены!I137</f>
        <v>96.26</v>
      </c>
      <c r="S38" s="281"/>
      <c r="T38" s="321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</row>
    <row r="39" spans="2:57" ht="25.05" customHeight="1" thickBot="1" x14ac:dyDescent="0.35">
      <c r="B39" s="12"/>
      <c r="C39" s="6"/>
      <c r="D39" s="6"/>
      <c r="E39" s="6"/>
      <c r="F39" s="6"/>
      <c r="G39" s="6"/>
      <c r="H39" s="13"/>
      <c r="J39" s="12"/>
      <c r="K39" s="6"/>
      <c r="L39" s="6"/>
      <c r="M39" s="6"/>
      <c r="N39" s="6"/>
      <c r="O39" s="13"/>
      <c r="R39" s="139">
        <f>SUM(R22:R38)</f>
        <v>3856.9000000000005</v>
      </c>
      <c r="S39" s="104"/>
      <c r="T39" s="322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BE39" s="80" t="s">
        <v>124</v>
      </c>
    </row>
    <row r="40" spans="2:57" ht="25.05" customHeight="1" thickBot="1" x14ac:dyDescent="0.35">
      <c r="B40" s="12"/>
      <c r="C40" s="6"/>
      <c r="D40" s="6"/>
      <c r="E40" s="6"/>
      <c r="F40" s="6"/>
      <c r="G40" s="349" t="s">
        <v>279</v>
      </c>
      <c r="H40" s="151">
        <f>ROUNDUP((AJ19+AJ32)*1.1,0)</f>
        <v>35</v>
      </c>
      <c r="J40" s="12"/>
      <c r="K40" s="6"/>
      <c r="L40" s="6"/>
      <c r="M40" s="6"/>
      <c r="N40" s="6"/>
      <c r="O40" s="13"/>
      <c r="Q40" s="491" t="s">
        <v>456</v>
      </c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BE40" s="80" t="s">
        <v>125</v>
      </c>
    </row>
    <row r="41" spans="2:57" ht="25.05" customHeight="1" thickBot="1" x14ac:dyDescent="0.35">
      <c r="B41" s="14"/>
      <c r="C41" s="154"/>
      <c r="D41" s="154"/>
      <c r="E41" s="154"/>
      <c r="F41" s="154"/>
      <c r="G41" s="154"/>
      <c r="H41" s="140"/>
      <c r="J41" s="14"/>
      <c r="K41" s="154"/>
      <c r="L41" s="154"/>
      <c r="M41" s="154"/>
      <c r="N41" s="154"/>
      <c r="O41" s="140"/>
      <c r="Q41" s="491"/>
      <c r="R41" s="289">
        <f>R17+R39+H25</f>
        <v>24790.84</v>
      </c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6"/>
      <c r="AI41" s="6"/>
    </row>
    <row r="42" spans="2:57" ht="15.6" x14ac:dyDescent="0.3">
      <c r="J42" s="6"/>
      <c r="K42" s="6"/>
      <c r="L42" s="6"/>
      <c r="M42" s="6"/>
      <c r="N42" s="6"/>
      <c r="O42" s="6"/>
      <c r="R42" s="287"/>
      <c r="S42" s="345"/>
      <c r="T42" s="345"/>
      <c r="U42" s="20"/>
      <c r="V42" s="20"/>
      <c r="W42" s="20"/>
      <c r="X42" s="20"/>
      <c r="Y42" s="20"/>
      <c r="Z42" s="20"/>
      <c r="AA42" s="19"/>
      <c r="AB42" s="19"/>
      <c r="AC42" s="19"/>
      <c r="AD42" s="18"/>
      <c r="AE42" s="345"/>
      <c r="AF42" s="345"/>
      <c r="AG42" s="345"/>
      <c r="AH42" s="345"/>
      <c r="AI42" s="6"/>
    </row>
    <row r="43" spans="2:57" ht="18" x14ac:dyDescent="0.35">
      <c r="J43" s="6"/>
      <c r="K43" s="6"/>
      <c r="L43" s="6"/>
      <c r="M43" s="6"/>
      <c r="N43" s="6"/>
      <c r="O43" s="6"/>
      <c r="R43" s="9"/>
      <c r="S43" s="9"/>
      <c r="T43" s="323"/>
      <c r="U43" s="20"/>
      <c r="V43" s="20"/>
      <c r="W43" s="20"/>
      <c r="X43" s="20"/>
      <c r="Y43" s="20"/>
      <c r="Z43" s="20"/>
      <c r="AA43" s="19"/>
      <c r="AB43" s="19"/>
      <c r="AC43" s="19"/>
      <c r="AD43" s="18"/>
      <c r="AE43" s="9"/>
      <c r="AF43" s="9"/>
      <c r="AG43" s="9"/>
      <c r="AH43" s="9"/>
      <c r="BE43" s="91" t="s">
        <v>132</v>
      </c>
    </row>
    <row r="44" spans="2:57" x14ac:dyDescent="0.3">
      <c r="J44" s="6"/>
      <c r="K44" s="6"/>
      <c r="L44" s="6"/>
      <c r="M44" s="6"/>
      <c r="N44" s="6"/>
      <c r="O44" s="6"/>
      <c r="R44" s="288"/>
      <c r="S44" s="18"/>
      <c r="T44" s="324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23"/>
      <c r="BE44" s="1" t="s">
        <v>100</v>
      </c>
    </row>
    <row r="45" spans="2:57" x14ac:dyDescent="0.3">
      <c r="J45" s="5"/>
      <c r="K45" s="102"/>
      <c r="L45" s="19"/>
      <c r="M45" s="19"/>
      <c r="N45" s="103"/>
      <c r="O45" s="78"/>
      <c r="P45" s="78"/>
      <c r="Q45" s="78"/>
      <c r="R45" s="288"/>
      <c r="S45" s="18"/>
      <c r="T45" s="324"/>
      <c r="U45" s="18"/>
      <c r="V45" s="18"/>
      <c r="W45" s="18"/>
      <c r="X45" s="18"/>
      <c r="Y45" s="18"/>
      <c r="Z45" s="18"/>
      <c r="AA45" s="5"/>
      <c r="AB45" s="5"/>
      <c r="AC45" s="5"/>
      <c r="AD45" s="5"/>
      <c r="AE45" s="18"/>
      <c r="AF45" s="18"/>
      <c r="AG45" s="18"/>
      <c r="AH45" s="23"/>
    </row>
    <row r="46" spans="2:57" x14ac:dyDescent="0.3">
      <c r="J46" s="5"/>
      <c r="K46" s="102"/>
      <c r="L46" s="19"/>
      <c r="M46" s="19"/>
      <c r="N46" s="103"/>
      <c r="O46" s="78"/>
      <c r="P46" s="78"/>
      <c r="Q46" s="78"/>
      <c r="R46" s="288"/>
      <c r="S46" s="18"/>
      <c r="T46" s="324"/>
      <c r="U46" s="18"/>
      <c r="V46" s="18"/>
      <c r="W46" s="18"/>
      <c r="X46" s="18"/>
      <c r="Y46" s="18"/>
      <c r="Z46" s="18"/>
      <c r="AA46" s="5"/>
      <c r="AB46" s="5"/>
      <c r="AC46" s="5"/>
      <c r="AD46" s="5"/>
      <c r="AE46" s="18"/>
      <c r="AF46" s="18"/>
      <c r="AG46" s="18"/>
      <c r="AH46" s="23"/>
    </row>
    <row r="47" spans="2:57" x14ac:dyDescent="0.3">
      <c r="J47" s="5"/>
      <c r="K47" s="102"/>
      <c r="L47" s="19"/>
      <c r="M47" s="19"/>
      <c r="N47" s="103"/>
      <c r="O47" s="78"/>
      <c r="P47" s="78"/>
      <c r="Q47" s="78"/>
      <c r="R47" s="354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J47" s="39"/>
      <c r="AK47" s="26" t="str">
        <f>Подвесная!BE50</f>
        <v>Серебро матовое</v>
      </c>
      <c r="AL47" s="26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1" t="s">
        <v>86</v>
      </c>
    </row>
    <row r="48" spans="2:57" x14ac:dyDescent="0.3">
      <c r="J48" s="5"/>
      <c r="K48" s="102"/>
      <c r="L48" s="19"/>
      <c r="M48" s="19"/>
      <c r="N48" s="103"/>
      <c r="O48" s="78"/>
      <c r="P48" s="78"/>
      <c r="Q48" s="78"/>
      <c r="R48" s="354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J48" s="39"/>
      <c r="AK48" s="26" t="str">
        <f>Подвесная!BE51</f>
        <v>Черный матовый</v>
      </c>
      <c r="AL48" s="26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84" t="s">
        <v>165</v>
      </c>
    </row>
    <row r="49" spans="10:57" x14ac:dyDescent="0.3">
      <c r="J49" s="5"/>
      <c r="K49" s="102"/>
      <c r="L49" s="19"/>
      <c r="M49" s="19"/>
      <c r="N49" s="103"/>
      <c r="O49" s="78"/>
      <c r="P49" s="78"/>
      <c r="Q49" s="78"/>
      <c r="R49" s="354"/>
      <c r="U49" s="6"/>
      <c r="V49" s="6"/>
      <c r="W49" s="6"/>
      <c r="X49" s="6"/>
      <c r="Y49" s="6"/>
      <c r="Z49" s="6"/>
      <c r="AA49" s="6"/>
      <c r="AB49" s="6"/>
      <c r="AC49" s="6"/>
      <c r="AD49" s="9"/>
      <c r="AE49" s="9"/>
      <c r="AF49" s="9"/>
      <c r="AG49" s="9"/>
      <c r="AH49" s="9"/>
      <c r="AJ49" s="39"/>
      <c r="AK49" s="26" t="str">
        <f>Подвесная!BE52</f>
        <v>Слоновая кость</v>
      </c>
      <c r="AL49" s="26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84" t="s">
        <v>135</v>
      </c>
    </row>
    <row r="50" spans="10:57" x14ac:dyDescent="0.3">
      <c r="J50" s="5"/>
      <c r="K50" s="102"/>
      <c r="L50" s="19"/>
      <c r="M50" s="19"/>
      <c r="N50" s="103"/>
      <c r="O50" s="78"/>
      <c r="P50" s="78"/>
      <c r="Q50" s="78"/>
      <c r="R50" s="354"/>
      <c r="U50" s="6"/>
      <c r="V50" s="6"/>
      <c r="W50" s="6"/>
      <c r="X50" s="6"/>
      <c r="Y50" s="6"/>
      <c r="Z50" s="6"/>
      <c r="AA50" s="6"/>
      <c r="AB50" s="6"/>
      <c r="AC50" s="6"/>
      <c r="AD50" s="79"/>
      <c r="AE50" s="79"/>
      <c r="AF50" s="79"/>
      <c r="AG50" s="79"/>
      <c r="AH50" s="79"/>
      <c r="AJ50" s="39"/>
      <c r="AK50" s="26" t="str">
        <f>Подвесная!BE53</f>
        <v>Белый матовый</v>
      </c>
      <c r="AL50" s="26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1" t="s">
        <v>82</v>
      </c>
    </row>
    <row r="51" spans="10:57" x14ac:dyDescent="0.3">
      <c r="J51" s="5"/>
      <c r="K51" s="102"/>
      <c r="L51" s="19"/>
      <c r="M51" s="19"/>
      <c r="N51" s="103"/>
      <c r="O51" s="78"/>
      <c r="P51" s="78"/>
      <c r="Q51" s="78"/>
      <c r="R51" s="354"/>
      <c r="U51" s="6"/>
      <c r="V51" s="6"/>
      <c r="W51" s="6"/>
      <c r="X51" s="6"/>
      <c r="Y51" s="6"/>
      <c r="Z51" s="6"/>
      <c r="AA51" s="6"/>
      <c r="AB51" s="6"/>
      <c r="AC51" s="6"/>
      <c r="AD51" s="79"/>
      <c r="AE51" s="79"/>
      <c r="AF51" s="79"/>
      <c r="AG51" s="79"/>
      <c r="AH51" s="79"/>
      <c r="AJ51" s="39"/>
      <c r="AK51" s="26" t="str">
        <f>Подвесная!BE54</f>
        <v xml:space="preserve">Венге темный </v>
      </c>
      <c r="AL51" s="26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</row>
    <row r="52" spans="10:57" x14ac:dyDescent="0.3">
      <c r="J52" s="5"/>
      <c r="K52" s="102"/>
      <c r="L52" s="19"/>
      <c r="M52" s="19"/>
      <c r="N52" s="103"/>
      <c r="O52" s="78"/>
      <c r="P52" s="78"/>
      <c r="Q52" s="78"/>
      <c r="R52" s="354"/>
      <c r="U52" s="6"/>
      <c r="V52" s="6"/>
      <c r="W52" s="6"/>
      <c r="X52" s="6"/>
      <c r="Y52" s="6"/>
      <c r="Z52" s="6"/>
      <c r="AA52" s="6"/>
      <c r="AB52" s="6"/>
      <c r="AC52" s="6"/>
      <c r="AD52" s="79"/>
      <c r="AE52" s="79"/>
      <c r="AF52" s="79"/>
      <c r="AG52" s="79"/>
      <c r="AH52" s="79"/>
      <c r="AJ52" s="39"/>
      <c r="AK52" s="26" t="str">
        <f>Подвесная!BE55</f>
        <v>Дуб белый</v>
      </c>
      <c r="AL52" s="26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</row>
    <row r="53" spans="10:57" x14ac:dyDescent="0.3">
      <c r="J53" s="5"/>
      <c r="K53" s="102"/>
      <c r="L53" s="19"/>
      <c r="M53" s="19"/>
      <c r="N53" s="103"/>
      <c r="O53" s="78"/>
      <c r="P53" s="78"/>
      <c r="Q53" s="78"/>
      <c r="R53" s="354"/>
      <c r="U53" s="6"/>
      <c r="V53" s="6"/>
      <c r="W53" s="6"/>
      <c r="X53" s="6"/>
      <c r="Y53" s="6"/>
      <c r="Z53" s="6"/>
      <c r="AA53" s="6"/>
      <c r="AB53" s="6"/>
      <c r="AC53" s="6"/>
      <c r="AD53" s="79"/>
      <c r="AE53" s="79"/>
      <c r="AF53" s="79"/>
      <c r="AG53" s="79"/>
      <c r="AH53" s="79"/>
      <c r="AJ53" s="39"/>
      <c r="AK53" s="26" t="str">
        <f>Подвесная!BE56</f>
        <v xml:space="preserve"> медь античная*</v>
      </c>
      <c r="AL53" s="26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1" t="s">
        <v>184</v>
      </c>
    </row>
    <row r="54" spans="10:57" x14ac:dyDescent="0.3">
      <c r="J54" s="5"/>
      <c r="K54" s="102"/>
      <c r="L54" s="19"/>
      <c r="M54" s="19"/>
      <c r="N54" s="103"/>
      <c r="O54" s="78"/>
      <c r="P54" s="78"/>
      <c r="Q54" s="78"/>
      <c r="R54" s="354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J54" s="39"/>
      <c r="AK54" s="26" t="str">
        <f>Подвесная!BE57</f>
        <v>сталь воронёная*</v>
      </c>
      <c r="AL54" s="26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1" t="s">
        <v>181</v>
      </c>
    </row>
    <row r="55" spans="10:57" x14ac:dyDescent="0.3">
      <c r="J55" s="5"/>
      <c r="K55" s="102"/>
      <c r="L55" s="19"/>
      <c r="M55" s="19"/>
      <c r="N55" s="103"/>
      <c r="O55" s="78"/>
      <c r="P55" s="78"/>
      <c r="Q55" s="78"/>
      <c r="R55" s="354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H55" s="79"/>
      <c r="AJ55" s="39"/>
      <c r="AK55" s="187"/>
      <c r="AL55" s="187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</row>
    <row r="56" spans="10:57" x14ac:dyDescent="0.3">
      <c r="J56" s="507"/>
      <c r="K56" s="507"/>
      <c r="L56" s="507"/>
      <c r="M56" s="507"/>
      <c r="N56" s="507"/>
      <c r="O56" s="104"/>
      <c r="P56" s="104"/>
      <c r="Q56" s="104"/>
      <c r="R56" s="354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79"/>
      <c r="AH56" s="79"/>
      <c r="AK56" s="188"/>
      <c r="AL56" s="188"/>
    </row>
    <row r="57" spans="10:57" ht="15.75" customHeight="1" x14ac:dyDescent="0.3">
      <c r="J57" s="5"/>
      <c r="K57" s="5"/>
      <c r="L57" s="5"/>
      <c r="M57" s="5"/>
      <c r="N57" s="5"/>
      <c r="O57" s="5"/>
      <c r="R57" s="354"/>
      <c r="U57" s="79"/>
      <c r="V57" s="79"/>
      <c r="W57" s="79"/>
      <c r="X57" s="79"/>
      <c r="Y57" s="79"/>
      <c r="Z57" s="79"/>
      <c r="AA57" s="79"/>
      <c r="AB57" s="79"/>
      <c r="AC57" s="79"/>
      <c r="AD57" s="79"/>
      <c r="AE57" s="79"/>
      <c r="AF57" s="79"/>
      <c r="AG57" s="79"/>
      <c r="AH57" s="79"/>
      <c r="AK57" s="188"/>
      <c r="AL57" s="188"/>
    </row>
    <row r="58" spans="10:57" ht="15.75" customHeight="1" x14ac:dyDescent="0.3">
      <c r="J58" s="6"/>
      <c r="K58" s="6"/>
      <c r="L58" s="6"/>
      <c r="M58" s="6"/>
      <c r="N58" s="6"/>
      <c r="O58" s="6"/>
      <c r="R58" s="354"/>
      <c r="U58" s="79"/>
      <c r="V58" s="79"/>
      <c r="W58" s="79"/>
      <c r="X58" s="79"/>
      <c r="Y58" s="79"/>
      <c r="Z58" s="79"/>
      <c r="AA58" s="79"/>
      <c r="AB58" s="79"/>
      <c r="AC58" s="79"/>
      <c r="AD58" s="6"/>
      <c r="AE58" s="6"/>
      <c r="AF58" s="6"/>
      <c r="AG58" s="6"/>
      <c r="AH58" s="6"/>
      <c r="AK58" s="188"/>
      <c r="AL58" s="188"/>
      <c r="BE58" s="1" t="s">
        <v>185</v>
      </c>
    </row>
    <row r="59" spans="10:57" ht="15.75" customHeight="1" x14ac:dyDescent="0.3">
      <c r="J59" s="6"/>
      <c r="K59" s="6"/>
      <c r="L59" s="6"/>
      <c r="M59" s="6"/>
      <c r="N59" s="6"/>
      <c r="O59" s="6"/>
      <c r="R59" s="354"/>
      <c r="U59" s="79"/>
      <c r="V59" s="79"/>
      <c r="W59" s="79"/>
      <c r="X59" s="79"/>
      <c r="Y59" s="79"/>
      <c r="Z59" s="79"/>
      <c r="AA59" s="79"/>
      <c r="AB59" s="79"/>
      <c r="AC59" s="79"/>
      <c r="AD59" s="6"/>
      <c r="AE59" s="6"/>
      <c r="AF59" s="6"/>
      <c r="AG59" s="6"/>
      <c r="AH59" s="6"/>
      <c r="AK59" s="188"/>
      <c r="AL59" s="188"/>
      <c r="BE59" s="1" t="s">
        <v>181</v>
      </c>
    </row>
    <row r="60" spans="10:57" ht="15.75" customHeight="1" x14ac:dyDescent="0.3">
      <c r="J60" s="6"/>
      <c r="K60" s="6"/>
      <c r="L60" s="6"/>
      <c r="M60" s="6"/>
      <c r="N60" s="6"/>
      <c r="O60" s="6"/>
      <c r="R60" s="354"/>
      <c r="U60" s="79"/>
      <c r="V60" s="79"/>
      <c r="W60" s="79"/>
      <c r="X60" s="79"/>
      <c r="Y60" s="79"/>
      <c r="Z60" s="79"/>
      <c r="AA60" s="79"/>
      <c r="AB60" s="79"/>
      <c r="AC60" s="79"/>
      <c r="AD60" s="6"/>
      <c r="AE60" s="6"/>
      <c r="AF60" s="6"/>
      <c r="AG60" s="6"/>
      <c r="AH60" s="6"/>
      <c r="AK60" s="188"/>
      <c r="AL60" s="188"/>
    </row>
    <row r="61" spans="10:57" x14ac:dyDescent="0.3">
      <c r="J61" s="6"/>
      <c r="K61" s="6"/>
      <c r="L61" s="6"/>
      <c r="M61" s="6"/>
      <c r="N61" s="6"/>
      <c r="O61" s="6"/>
      <c r="R61" s="354"/>
      <c r="U61" s="79"/>
      <c r="V61" s="79"/>
      <c r="W61" s="79"/>
      <c r="X61" s="79"/>
      <c r="Y61" s="79"/>
      <c r="Z61" s="79"/>
      <c r="AA61" s="79"/>
      <c r="AB61" s="79"/>
      <c r="AC61" s="79"/>
      <c r="AD61" s="79"/>
      <c r="AE61" s="79"/>
      <c r="AF61" s="79"/>
      <c r="AG61" s="79"/>
      <c r="AH61" s="79"/>
      <c r="AK61" s="188"/>
      <c r="AL61" s="188"/>
    </row>
    <row r="62" spans="10:57" x14ac:dyDescent="0.3">
      <c r="J62" s="6"/>
      <c r="K62" s="6"/>
      <c r="L62" s="6"/>
      <c r="M62" s="6"/>
      <c r="N62" s="6"/>
      <c r="O62" s="6"/>
      <c r="R62" s="354"/>
      <c r="U62" s="79"/>
      <c r="V62" s="79"/>
      <c r="W62" s="79"/>
      <c r="X62" s="79"/>
      <c r="Y62" s="79"/>
      <c r="Z62" s="79"/>
      <c r="AA62" s="79"/>
      <c r="AB62" s="79"/>
      <c r="AC62" s="79"/>
      <c r="AD62" s="79"/>
      <c r="AE62" s="79"/>
      <c r="AF62" s="79"/>
      <c r="AG62" s="79"/>
      <c r="AH62" s="79"/>
      <c r="AK62" s="188" t="s">
        <v>209</v>
      </c>
      <c r="AL62" s="188"/>
    </row>
    <row r="63" spans="10:57" x14ac:dyDescent="0.3">
      <c r="J63" s="6"/>
      <c r="K63" s="6"/>
      <c r="L63" s="6"/>
      <c r="M63" s="6"/>
      <c r="N63" s="6"/>
      <c r="O63" s="6"/>
      <c r="R63" s="354"/>
      <c r="U63" s="79"/>
      <c r="V63" s="79"/>
      <c r="W63" s="79"/>
      <c r="X63" s="79"/>
      <c r="Y63" s="79"/>
      <c r="Z63" s="79"/>
      <c r="AA63" s="79"/>
      <c r="AB63" s="79"/>
      <c r="AC63" s="79"/>
      <c r="AD63" s="79"/>
      <c r="AE63" s="79"/>
      <c r="AF63" s="79"/>
      <c r="AG63" s="79"/>
      <c r="AH63" s="79"/>
      <c r="AK63" s="188" t="s">
        <v>258</v>
      </c>
      <c r="AL63" s="188"/>
    </row>
    <row r="64" spans="10:57" x14ac:dyDescent="0.3">
      <c r="J64" s="6"/>
      <c r="K64" s="6"/>
      <c r="L64" s="6"/>
      <c r="M64" s="6"/>
      <c r="N64" s="6"/>
      <c r="O64" s="6"/>
      <c r="R64" s="354"/>
      <c r="U64" s="79"/>
      <c r="V64" s="79"/>
      <c r="W64" s="79"/>
      <c r="X64" s="79"/>
      <c r="Y64" s="79"/>
      <c r="Z64" s="79"/>
      <c r="AA64" s="79"/>
      <c r="AB64" s="79"/>
      <c r="AC64" s="79"/>
      <c r="AD64" s="79"/>
      <c r="AE64" s="79"/>
      <c r="AF64" s="79"/>
      <c r="AG64" s="79"/>
      <c r="AH64" s="79"/>
    </row>
    <row r="65" spans="10:58" x14ac:dyDescent="0.3">
      <c r="J65" s="6"/>
      <c r="K65" s="6"/>
      <c r="L65" s="6"/>
      <c r="M65" s="6"/>
      <c r="N65" s="6"/>
      <c r="O65" s="6"/>
      <c r="R65" s="354"/>
      <c r="U65" s="105"/>
      <c r="V65" s="105"/>
      <c r="W65" s="105"/>
      <c r="X65" s="105"/>
      <c r="Y65" s="105"/>
      <c r="Z65" s="105"/>
      <c r="AA65" s="105"/>
      <c r="AB65" s="105"/>
      <c r="AC65" s="105"/>
      <c r="AD65" s="105"/>
      <c r="AE65" s="105"/>
      <c r="AF65" s="105"/>
      <c r="AG65" s="105"/>
      <c r="AH65" s="105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</row>
    <row r="66" spans="10:58" x14ac:dyDescent="0.3">
      <c r="R66" s="354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</row>
    <row r="67" spans="10:58" x14ac:dyDescent="0.3">
      <c r="R67" s="354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</row>
    <row r="68" spans="10:58" x14ac:dyDescent="0.3">
      <c r="R68" s="354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</row>
  </sheetData>
  <sheetProtection algorithmName="SHA-512" hashValue="wBTJfnJZbJtIOzJOFosh3Yqfk00rFbeu29z0+0I0EWrsHujR5EXr5HLbiETiXlu9vAPLIuaPN12ebHgA1SM+Jg==" saltValue="cZghh8LxLvXR/u96cX+BTg==" spinCount="100000" sheet="1" selectLockedCells="1"/>
  <mergeCells count="56">
    <mergeCell ref="N3:O3"/>
    <mergeCell ref="B8:D8"/>
    <mergeCell ref="B9:D9"/>
    <mergeCell ref="B10:D10"/>
    <mergeCell ref="B11:D11"/>
    <mergeCell ref="B12:D12"/>
    <mergeCell ref="J3:K3"/>
    <mergeCell ref="J7:M7"/>
    <mergeCell ref="B4:D4"/>
    <mergeCell ref="B3:D3"/>
    <mergeCell ref="B5:D5"/>
    <mergeCell ref="B6:D6"/>
    <mergeCell ref="B7:D7"/>
    <mergeCell ref="E25:G25"/>
    <mergeCell ref="C26:D26"/>
    <mergeCell ref="C30:D30"/>
    <mergeCell ref="J56:N56"/>
    <mergeCell ref="U17:AG17"/>
    <mergeCell ref="J20:L20"/>
    <mergeCell ref="J21:M21"/>
    <mergeCell ref="J22:M22"/>
    <mergeCell ref="J23:M23"/>
    <mergeCell ref="J24:M24"/>
    <mergeCell ref="J25:M25"/>
    <mergeCell ref="J26:M26"/>
    <mergeCell ref="J27:M27"/>
    <mergeCell ref="J28:M28"/>
    <mergeCell ref="J29:M29"/>
    <mergeCell ref="J30:M30"/>
    <mergeCell ref="J31:M31"/>
    <mergeCell ref="J32:M32"/>
    <mergeCell ref="J33:M33"/>
    <mergeCell ref="J34:M34"/>
    <mergeCell ref="J35:M35"/>
    <mergeCell ref="B1:H1"/>
    <mergeCell ref="J1:O1"/>
    <mergeCell ref="Q40:Q41"/>
    <mergeCell ref="J36:M36"/>
    <mergeCell ref="J37:M37"/>
    <mergeCell ref="J38:M38"/>
    <mergeCell ref="E4:H4"/>
    <mergeCell ref="E3:H3"/>
    <mergeCell ref="E5:H5"/>
    <mergeCell ref="E6:H6"/>
    <mergeCell ref="E7:H7"/>
    <mergeCell ref="E8:H8"/>
    <mergeCell ref="E9:H9"/>
    <mergeCell ref="E10:H10"/>
    <mergeCell ref="E11:H11"/>
    <mergeCell ref="E12:H12"/>
    <mergeCell ref="AC33:AG33"/>
    <mergeCell ref="U3:Y3"/>
    <mergeCell ref="Z3:AA3"/>
    <mergeCell ref="U20:AH20"/>
    <mergeCell ref="U30:AG30"/>
    <mergeCell ref="U7:AH7"/>
  </mergeCells>
  <conditionalFormatting sqref="E7">
    <cfRule type="cellIs" dxfId="86" priority="79" operator="greaterThan">
      <formula>0</formula>
    </cfRule>
  </conditionalFormatting>
  <conditionalFormatting sqref="E11">
    <cfRule type="cellIs" dxfId="85" priority="50" operator="greaterThan">
      <formula>0</formula>
    </cfRule>
  </conditionalFormatting>
  <conditionalFormatting sqref="E12">
    <cfRule type="cellIs" dxfId="84" priority="46" operator="greaterThan">
      <formula>0</formula>
    </cfRule>
  </conditionalFormatting>
  <conditionalFormatting sqref="K4">
    <cfRule type="expression" dxfId="83" priority="96">
      <formula>$K$4&gt;3200</formula>
    </cfRule>
  </conditionalFormatting>
  <conditionalFormatting sqref="E6">
    <cfRule type="cellIs" dxfId="82" priority="21" operator="greaterThan">
      <formula>0</formula>
    </cfRule>
  </conditionalFormatting>
  <conditionalFormatting sqref="E10">
    <cfRule type="expression" dxfId="81" priority="402">
      <formula>$E$9=$BE$10</formula>
    </cfRule>
  </conditionalFormatting>
  <conditionalFormatting sqref="U9:AF16">
    <cfRule type="cellIs" dxfId="80" priority="62" operator="equal">
      <formula>0</formula>
    </cfRule>
  </conditionalFormatting>
  <conditionalFormatting sqref="H40">
    <cfRule type="expression" dxfId="79" priority="15">
      <formula>$H$40&gt;40</formula>
    </cfRule>
  </conditionalFormatting>
  <conditionalFormatting sqref="O37:T37">
    <cfRule type="expression" dxfId="78" priority="479">
      <formula>#REF!=0</formula>
    </cfRule>
  </conditionalFormatting>
  <conditionalFormatting sqref="AA42:AD43 H25 F20:H24 L12:Q12 R39:T39 U10:AG16 R12:S17 AH10:AH14 AH16:AH17 E20 K4:K5 L10:S11 T10:T17 O22:T38 L9:AH9 L16:Q16 L13:N15 P13:Q15">
    <cfRule type="expression" dxfId="77" priority="533">
      <formula>$E$4=0</formula>
    </cfRule>
  </conditionalFormatting>
  <conditionalFormatting sqref="AH33 R41">
    <cfRule type="expression" dxfId="76" priority="547">
      <formula>$E$4=0</formula>
    </cfRule>
  </conditionalFormatting>
  <conditionalFormatting sqref="K5">
    <cfRule type="expression" dxfId="75" priority="549">
      <formula>AND(OR($K$5&lt;300,$K$5&gt;600),$E$4&gt;0)</formula>
    </cfRule>
  </conditionalFormatting>
  <conditionalFormatting sqref="C26">
    <cfRule type="expression" dxfId="74" priority="551">
      <formula>$C$26=$BE$40</formula>
    </cfRule>
  </conditionalFormatting>
  <conditionalFormatting sqref="C26:D26">
    <cfRule type="expression" dxfId="73" priority="552">
      <formula>$C$26=$BE$39</formula>
    </cfRule>
  </conditionalFormatting>
  <conditionalFormatting sqref="E8">
    <cfRule type="expression" dxfId="72" priority="553">
      <formula>AND($E$8=$BE$5,$E$7=$AK$48)</formula>
    </cfRule>
  </conditionalFormatting>
  <conditionalFormatting sqref="C30">
    <cfRule type="expression" dxfId="71" priority="554">
      <formula>$C$30=$BE$43</formula>
    </cfRule>
  </conditionalFormatting>
  <conditionalFormatting sqref="AB3:AC3">
    <cfRule type="expression" dxfId="70" priority="919">
      <formula>$BL$19=FALSE</formula>
    </cfRule>
  </conditionalFormatting>
  <conditionalFormatting sqref="U22:AF29">
    <cfRule type="cellIs" dxfId="69" priority="10" operator="equal">
      <formula>0</formula>
    </cfRule>
  </conditionalFormatting>
  <conditionalFormatting sqref="AH23:AH27 AH29:AH30 U22:AH22 U23:AG29">
    <cfRule type="expression" dxfId="68" priority="11">
      <formula>$E$4=0</formula>
    </cfRule>
  </conditionalFormatting>
  <conditionalFormatting sqref="O15">
    <cfRule type="expression" dxfId="67" priority="9">
      <formula>$E$4=0</formula>
    </cfRule>
  </conditionalFormatting>
  <conditionalFormatting sqref="O13:O14">
    <cfRule type="expression" dxfId="66" priority="8">
      <formula>$E$4=0</formula>
    </cfRule>
  </conditionalFormatting>
  <conditionalFormatting sqref="R1:AH41">
    <cfRule type="expression" dxfId="65" priority="7">
      <formula>$N$3=$BN$9</formula>
    </cfRule>
  </conditionalFormatting>
  <conditionalFormatting sqref="T3">
    <cfRule type="expression" dxfId="64" priority="6">
      <formula>$N$3=$BN$9</formula>
    </cfRule>
  </conditionalFormatting>
  <conditionalFormatting sqref="T1:AH41">
    <cfRule type="expression" dxfId="63" priority="5">
      <formula>$N$3=$BN$10</formula>
    </cfRule>
  </conditionalFormatting>
  <conditionalFormatting sqref="R7">
    <cfRule type="expression" dxfId="62" priority="4">
      <formula>$N$3=$BN$9</formula>
    </cfRule>
  </conditionalFormatting>
  <conditionalFormatting sqref="R7:R17 R41">
    <cfRule type="expression" dxfId="61" priority="3">
      <formula>$N$3=$BN$11</formula>
    </cfRule>
  </conditionalFormatting>
  <conditionalFormatting sqref="T7:AH17">
    <cfRule type="expression" dxfId="60" priority="2">
      <formula>$Z$3&lt;&gt;$BN$21</formula>
    </cfRule>
  </conditionalFormatting>
  <conditionalFormatting sqref="T20:AH30">
    <cfRule type="expression" dxfId="59" priority="1">
      <formula>$Z$3=$BN$21</formula>
    </cfRule>
  </conditionalFormatting>
  <dataValidations count="11">
    <dataValidation type="list" allowBlank="1" showInputMessage="1" showErrorMessage="1" sqref="E10">
      <formula1>$BE$18:$BE$19</formula1>
    </dataValidation>
    <dataValidation type="list" allowBlank="1" showInputMessage="1" showErrorMessage="1" sqref="E8">
      <formula1>$BE$5:$BE$6</formula1>
    </dataValidation>
    <dataValidation type="list" allowBlank="1" showInputMessage="1" showErrorMessage="1" sqref="E9">
      <formula1>$BE$9:$BE$10</formula1>
    </dataValidation>
    <dataValidation type="list" allowBlank="1" showInputMessage="1" showErrorMessage="1" sqref="E5">
      <formula1>$BE$33:$BE$37</formula1>
    </dataValidation>
    <dataValidation type="list" allowBlank="1" showInputMessage="1" showErrorMessage="1" sqref="C20:C24">
      <formula1>$BE$13:$BE$15</formula1>
    </dataValidation>
    <dataValidation type="list" allowBlank="1" showInputMessage="1" showErrorMessage="1" sqref="E11">
      <formula1>$BE$49:$BE$50</formula1>
    </dataValidation>
    <dataValidation type="list" allowBlank="1" showInputMessage="1" showErrorMessage="1" sqref="E7">
      <formula1>$AK$47:$AK$54</formula1>
    </dataValidation>
    <dataValidation type="list" allowBlank="1" showInputMessage="1" showErrorMessage="1" sqref="E6">
      <formula1>$BH$5:$BH$6</formula1>
    </dataValidation>
    <dataValidation type="whole" allowBlank="1" showInputMessage="1" showErrorMessage="1" sqref="E12">
      <formula1>150</formula1>
      <formula2>K4</formula2>
    </dataValidation>
    <dataValidation type="list" allowBlank="1" showInputMessage="1" showErrorMessage="1" sqref="Z3:AA3">
      <formula1>$BN$21:$BN$26</formula1>
    </dataValidation>
    <dataValidation type="list" allowBlank="1" showInputMessage="1" showErrorMessage="1" sqref="N3:O3">
      <formula1>$BN$9:$BN$11</formula1>
    </dataValidation>
  </dataValidations>
  <printOptions horizontalCentered="1" verticalCentered="1"/>
  <pageMargins left="0.11811023622047245" right="0.11811023622047245" top="0.74803149606299213" bottom="0.74803149606299213" header="0.31496062992125984" footer="0.31496062992125984"/>
  <pageSetup paperSize="9" scale="38" orientation="landscape" verticalDpi="1200" r:id="rId1"/>
  <ignoredErrors>
    <ignoredError sqref="O11" 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2" id="{3DD69E6D-ABFC-429B-A7F7-C20BA496C769}">
            <x14:iconSet iconSet="3Symbols2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E26:G26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1"/>
    <pageSetUpPr fitToPage="1"/>
  </sheetPr>
  <dimension ref="A1:BR72"/>
  <sheetViews>
    <sheetView zoomScale="70" zoomScaleNormal="70" zoomScalePageLayoutView="110" workbookViewId="0">
      <selection activeCell="E3" sqref="E3:H3"/>
    </sheetView>
  </sheetViews>
  <sheetFormatPr defaultColWidth="8.88671875" defaultRowHeight="14.4" x14ac:dyDescent="0.3"/>
  <cols>
    <col min="1" max="1" width="1.77734375" style="55" customWidth="1"/>
    <col min="2" max="3" width="45.77734375" style="55" customWidth="1"/>
    <col min="4" max="8" width="14.77734375" style="55" customWidth="1"/>
    <col min="9" max="9" width="1.77734375" style="55" customWidth="1"/>
    <col min="10" max="10" width="35.77734375" style="55" customWidth="1"/>
    <col min="11" max="15" width="14.77734375" style="55" customWidth="1"/>
    <col min="16" max="16" width="1.77734375" style="5" customWidth="1"/>
    <col min="17" max="17" width="14.77734375" style="5" hidden="1" customWidth="1"/>
    <col min="18" max="18" width="14.77734375" style="365" customWidth="1"/>
    <col min="19" max="19" width="1.77734375" style="5" customWidth="1"/>
    <col min="20" max="20" width="24.77734375" style="5" customWidth="1"/>
    <col min="21" max="32" width="11.77734375" style="55" customWidth="1"/>
    <col min="33" max="33" width="14.77734375" style="55" customWidth="1"/>
    <col min="34" max="34" width="14.77734375" style="365" customWidth="1"/>
    <col min="35" max="35" width="8.5546875" style="55" hidden="1" customWidth="1"/>
    <col min="36" max="36" width="15.6640625" style="55" hidden="1" customWidth="1"/>
    <col min="37" max="38" width="11.21875" style="55" hidden="1" customWidth="1"/>
    <col min="39" max="39" width="11.109375" style="55" hidden="1" customWidth="1"/>
    <col min="40" max="40" width="11.44140625" style="55" hidden="1" customWidth="1"/>
    <col min="41" max="41" width="12.5546875" style="55" hidden="1" customWidth="1"/>
    <col min="42" max="42" width="12.6640625" style="55" hidden="1" customWidth="1"/>
    <col min="43" max="45" width="11.21875" style="55" hidden="1" customWidth="1"/>
    <col min="46" max="46" width="10.88671875" style="55" hidden="1" customWidth="1"/>
    <col min="47" max="47" width="11.44140625" style="55" hidden="1" customWidth="1"/>
    <col min="48" max="48" width="8.5546875" style="55" hidden="1" customWidth="1"/>
    <col min="49" max="49" width="11.21875" style="55" hidden="1" customWidth="1"/>
    <col min="50" max="54" width="8.5546875" style="55" hidden="1" customWidth="1"/>
    <col min="55" max="55" width="14.21875" style="55" hidden="1" customWidth="1"/>
    <col min="56" max="56" width="11.21875" style="55" hidden="1" customWidth="1"/>
    <col min="57" max="57" width="19.44140625" style="55" hidden="1" customWidth="1"/>
    <col min="58" max="58" width="8.88671875" style="55" hidden="1" customWidth="1"/>
    <col min="59" max="59" width="16.77734375" style="55" hidden="1" customWidth="1"/>
    <col min="60" max="60" width="26.77734375" style="55" hidden="1" customWidth="1"/>
    <col min="61" max="61" width="18.5546875" style="55" hidden="1" customWidth="1"/>
    <col min="62" max="63" width="8.88671875" style="55" hidden="1" customWidth="1"/>
    <col min="64" max="73" width="0" style="55" hidden="1" customWidth="1"/>
    <col min="74" max="16384" width="8.88671875" style="55"/>
  </cols>
  <sheetData>
    <row r="1" spans="1:66" ht="25.05" customHeight="1" x14ac:dyDescent="0.3">
      <c r="B1" s="449" t="s">
        <v>110</v>
      </c>
      <c r="C1" s="449"/>
      <c r="D1" s="449"/>
      <c r="E1" s="449"/>
      <c r="F1" s="449"/>
      <c r="G1" s="449"/>
      <c r="H1" s="449"/>
      <c r="I1" s="152"/>
      <c r="J1" s="449" t="s">
        <v>111</v>
      </c>
      <c r="K1" s="449"/>
      <c r="L1" s="449"/>
      <c r="M1" s="449"/>
      <c r="N1" s="449"/>
      <c r="O1" s="449"/>
      <c r="P1" s="248"/>
      <c r="Q1" s="248"/>
    </row>
    <row r="2" spans="1:66" ht="25.05" customHeight="1" thickBot="1" x14ac:dyDescent="0.35">
      <c r="A2" s="5"/>
      <c r="I2" s="106"/>
      <c r="J2" s="106"/>
      <c r="K2" s="106"/>
      <c r="L2" s="106"/>
      <c r="M2" s="106"/>
      <c r="N2" s="106"/>
      <c r="O2" s="106"/>
      <c r="P2" s="106"/>
      <c r="Q2" s="106"/>
      <c r="R2" s="304"/>
      <c r="S2" s="304"/>
      <c r="T2" s="304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304"/>
      <c r="AI2" s="106"/>
      <c r="AJ2" s="106"/>
      <c r="AK2" s="106"/>
      <c r="AL2" s="106"/>
      <c r="AM2" s="106"/>
      <c r="AN2" s="106"/>
      <c r="AO2" s="106"/>
      <c r="AP2" s="106"/>
      <c r="AQ2" s="106"/>
      <c r="AT2" s="106"/>
      <c r="AU2" s="106"/>
      <c r="AV2" s="106"/>
      <c r="AX2" s="106"/>
      <c r="AY2" s="106"/>
      <c r="AZ2" s="106"/>
      <c r="BA2" s="106"/>
      <c r="BB2" s="106"/>
      <c r="BC2" s="106"/>
    </row>
    <row r="3" spans="1:66" ht="25.05" customHeight="1" x14ac:dyDescent="0.3">
      <c r="B3" s="452" t="s">
        <v>127</v>
      </c>
      <c r="C3" s="453"/>
      <c r="D3" s="453"/>
      <c r="E3" s="459">
        <v>2600</v>
      </c>
      <c r="F3" s="459"/>
      <c r="G3" s="459"/>
      <c r="H3" s="460"/>
      <c r="J3" s="470" t="s">
        <v>281</v>
      </c>
      <c r="K3" s="472"/>
      <c r="L3" s="5"/>
      <c r="M3" s="5"/>
      <c r="N3" s="475" t="s">
        <v>489</v>
      </c>
      <c r="O3" s="476"/>
      <c r="R3" s="3"/>
      <c r="S3" s="3"/>
      <c r="T3" s="3"/>
      <c r="U3" s="414" t="s">
        <v>448</v>
      </c>
      <c r="V3" s="414"/>
      <c r="W3" s="414"/>
      <c r="X3" s="414"/>
      <c r="Y3" s="414"/>
      <c r="Z3" s="413" t="s">
        <v>449</v>
      </c>
      <c r="AA3" s="413"/>
      <c r="AB3" s="408"/>
      <c r="AC3" s="408"/>
      <c r="AD3" s="5"/>
      <c r="AE3" s="5"/>
      <c r="AF3" s="5"/>
      <c r="AG3" s="5"/>
      <c r="AH3" s="90"/>
      <c r="AI3" s="5"/>
      <c r="AJ3" s="5"/>
      <c r="AP3" s="245" t="s">
        <v>449</v>
      </c>
      <c r="BE3" s="108"/>
    </row>
    <row r="4" spans="1:66" ht="25.05" customHeight="1" x14ac:dyDescent="0.3">
      <c r="B4" s="454" t="s">
        <v>126</v>
      </c>
      <c r="C4" s="455"/>
      <c r="D4" s="455"/>
      <c r="E4" s="461">
        <v>1000</v>
      </c>
      <c r="F4" s="461"/>
      <c r="G4" s="461"/>
      <c r="H4" s="462"/>
      <c r="J4" s="302" t="s">
        <v>16</v>
      </c>
      <c r="K4" s="314">
        <f>E3-20</f>
        <v>2580</v>
      </c>
      <c r="L4" s="5"/>
      <c r="M4" s="110"/>
      <c r="N4" s="110"/>
      <c r="O4" s="110"/>
      <c r="P4" s="110"/>
      <c r="Q4" s="110"/>
      <c r="R4" s="90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90"/>
      <c r="AI4" s="5"/>
      <c r="AJ4" s="5"/>
      <c r="BE4" s="108">
        <v>1</v>
      </c>
      <c r="BG4" s="2">
        <f>IF(E7=BE65,O12*Цены!I69,IF(E7=BE66,O12*Цены!I70,IF(OR(E7=BE71,E7=BE72),O12*Цены!I75,Цены!I71)))</f>
        <v>0</v>
      </c>
      <c r="BH4" s="1" t="s">
        <v>485</v>
      </c>
      <c r="BI4" s="1" t="s">
        <v>255</v>
      </c>
      <c r="BJ4" s="2">
        <f>IF(E6=BH4,9,8)</f>
        <v>8</v>
      </c>
    </row>
    <row r="5" spans="1:66" ht="25.05" customHeight="1" thickBot="1" x14ac:dyDescent="0.35">
      <c r="B5" s="454" t="s">
        <v>475</v>
      </c>
      <c r="C5" s="455"/>
      <c r="D5" s="455"/>
      <c r="E5" s="443">
        <v>0</v>
      </c>
      <c r="F5" s="443"/>
      <c r="G5" s="443"/>
      <c r="H5" s="444"/>
      <c r="J5" s="306" t="s">
        <v>17</v>
      </c>
      <c r="K5" s="315">
        <f>IF(E8=BE60,(E4-10*E9)/E9,ROUNDDOWN(IF(OR(E11=BE25,E11=BE26),(E4-4*E9)/E9,IF(OR(E11=BE27,E11=BE28),(E4-10*E9)/E9)),0))</f>
        <v>490</v>
      </c>
      <c r="L5" s="5"/>
      <c r="O5" s="5"/>
      <c r="R5" s="90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90"/>
      <c r="AI5" s="5"/>
      <c r="AJ5" s="5"/>
      <c r="AK5" s="144" t="s">
        <v>274</v>
      </c>
      <c r="AL5" s="144"/>
      <c r="AM5" s="144"/>
      <c r="AN5" s="189">
        <v>5000</v>
      </c>
      <c r="AO5" s="189"/>
      <c r="AP5" s="189"/>
      <c r="AQ5" s="189"/>
      <c r="AR5" s="189"/>
      <c r="AS5" s="189"/>
      <c r="AT5" s="189"/>
      <c r="AU5" s="189"/>
      <c r="AV5" s="189"/>
      <c r="AW5" s="189"/>
      <c r="AX5" s="190"/>
      <c r="AY5" s="190"/>
      <c r="AZ5" s="190"/>
      <c r="BA5" s="190"/>
      <c r="BB5" s="190"/>
      <c r="BC5" s="190"/>
      <c r="BE5" s="108">
        <v>2</v>
      </c>
      <c r="BG5" s="107">
        <f>IF(E7=BE65,O12*Цены!I45,IF(E7=BE66,O12*Цены!I46,IF(E7=BE67,O12*Цены!I47,IF(E7=BE68,O12*Цены!I48,O12*Цены!I51))))</f>
        <v>0</v>
      </c>
      <c r="BH5" s="1" t="s">
        <v>486</v>
      </c>
      <c r="BI5" s="1" t="s">
        <v>271</v>
      </c>
      <c r="BJ5" s="107"/>
    </row>
    <row r="6" spans="1:66" ht="25.05" customHeight="1" thickBot="1" x14ac:dyDescent="0.35">
      <c r="B6" s="454" t="s">
        <v>254</v>
      </c>
      <c r="C6" s="455"/>
      <c r="D6" s="455"/>
      <c r="E6" s="443" t="s">
        <v>486</v>
      </c>
      <c r="F6" s="443"/>
      <c r="G6" s="443"/>
      <c r="H6" s="444"/>
      <c r="J6" s="5"/>
      <c r="K6" s="5"/>
      <c r="L6" s="5"/>
      <c r="M6" s="5"/>
      <c r="N6" s="5"/>
      <c r="O6" s="5"/>
      <c r="R6" s="90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90"/>
      <c r="AI6" s="5"/>
      <c r="AJ6" s="5"/>
      <c r="AK6" s="144" t="s">
        <v>275</v>
      </c>
      <c r="AL6" s="144"/>
      <c r="AM6" s="144"/>
      <c r="AN6" s="144">
        <v>5075</v>
      </c>
      <c r="AO6" s="189"/>
      <c r="AP6" s="144"/>
      <c r="AQ6" s="144"/>
      <c r="AR6" s="144"/>
      <c r="AS6" s="144"/>
      <c r="AT6" s="144"/>
      <c r="AU6" s="144"/>
      <c r="AV6" s="144"/>
      <c r="AW6" s="144"/>
      <c r="AX6" s="190"/>
      <c r="AY6" s="190"/>
      <c r="AZ6" s="190"/>
      <c r="BA6" s="190"/>
      <c r="BB6" s="190"/>
      <c r="BC6" s="190"/>
    </row>
    <row r="7" spans="1:66" ht="25.05" customHeight="1" x14ac:dyDescent="0.3">
      <c r="B7" s="454" t="s">
        <v>128</v>
      </c>
      <c r="C7" s="455"/>
      <c r="D7" s="455"/>
      <c r="E7" s="443" t="s">
        <v>243</v>
      </c>
      <c r="F7" s="443"/>
      <c r="G7" s="443"/>
      <c r="H7" s="444"/>
      <c r="J7" s="511" t="s">
        <v>188</v>
      </c>
      <c r="K7" s="512"/>
      <c r="L7" s="512"/>
      <c r="M7" s="512"/>
      <c r="N7" s="356"/>
      <c r="O7" s="138"/>
      <c r="P7" s="345"/>
      <c r="Q7" s="345"/>
      <c r="R7" s="262"/>
      <c r="S7" s="198"/>
      <c r="T7" s="396"/>
      <c r="U7" s="524" t="s">
        <v>106</v>
      </c>
      <c r="V7" s="524"/>
      <c r="W7" s="426"/>
      <c r="X7" s="426"/>
      <c r="Y7" s="426"/>
      <c r="Z7" s="426"/>
      <c r="AA7" s="426"/>
      <c r="AB7" s="426"/>
      <c r="AC7" s="426"/>
      <c r="AD7" s="426"/>
      <c r="AE7" s="426"/>
      <c r="AF7" s="426"/>
      <c r="AG7" s="426"/>
      <c r="AH7" s="427"/>
      <c r="AI7" s="3" t="s">
        <v>283</v>
      </c>
      <c r="AJ7" s="3"/>
      <c r="AK7" s="189" t="s">
        <v>276</v>
      </c>
      <c r="AL7" s="189"/>
      <c r="AM7" s="189"/>
      <c r="AN7" s="144">
        <v>5400</v>
      </c>
      <c r="AO7" s="189"/>
      <c r="AP7" s="144"/>
      <c r="AQ7" s="144"/>
      <c r="AR7" s="144"/>
      <c r="AS7" s="144"/>
      <c r="AT7" s="144"/>
      <c r="AU7" s="144"/>
      <c r="AV7" s="144"/>
      <c r="AW7" s="144"/>
      <c r="AX7" s="190"/>
      <c r="AY7" s="190"/>
      <c r="AZ7" s="190"/>
      <c r="BA7" s="190"/>
      <c r="BB7" s="190"/>
      <c r="BC7" s="190"/>
    </row>
    <row r="8" spans="1:66" ht="25.05" customHeight="1" x14ac:dyDescent="0.3">
      <c r="B8" s="454" t="s">
        <v>252</v>
      </c>
      <c r="C8" s="455"/>
      <c r="D8" s="455"/>
      <c r="E8" s="443" t="s">
        <v>251</v>
      </c>
      <c r="F8" s="443"/>
      <c r="G8" s="443"/>
      <c r="H8" s="444"/>
      <c r="J8" s="340" t="s">
        <v>0</v>
      </c>
      <c r="K8" s="341" t="s">
        <v>1</v>
      </c>
      <c r="L8" s="341" t="s">
        <v>8</v>
      </c>
      <c r="M8" s="341" t="s">
        <v>10</v>
      </c>
      <c r="N8" s="209" t="s">
        <v>107</v>
      </c>
      <c r="O8" s="243" t="s">
        <v>24</v>
      </c>
      <c r="P8" s="143"/>
      <c r="Q8" s="143"/>
      <c r="R8" s="263" t="s">
        <v>25</v>
      </c>
      <c r="S8" s="143"/>
      <c r="T8" s="333"/>
      <c r="U8" s="197">
        <v>1000</v>
      </c>
      <c r="V8" s="197">
        <v>1250</v>
      </c>
      <c r="W8" s="97">
        <v>1800</v>
      </c>
      <c r="X8" s="97">
        <v>2000</v>
      </c>
      <c r="Y8" s="97">
        <v>2500</v>
      </c>
      <c r="Z8" s="97">
        <v>2700</v>
      </c>
      <c r="AA8" s="97">
        <v>3000</v>
      </c>
      <c r="AB8" s="97">
        <v>3600</v>
      </c>
      <c r="AC8" s="97">
        <v>3750</v>
      </c>
      <c r="AD8" s="97">
        <v>4000</v>
      </c>
      <c r="AE8" s="97">
        <v>5000</v>
      </c>
      <c r="AF8" s="97">
        <v>5400</v>
      </c>
      <c r="AG8" s="209" t="s">
        <v>107</v>
      </c>
      <c r="AH8" s="53" t="s">
        <v>25</v>
      </c>
      <c r="AI8" s="54"/>
      <c r="AJ8" s="54"/>
      <c r="AK8" s="97">
        <v>1000</v>
      </c>
      <c r="AL8" s="97">
        <v>1250</v>
      </c>
      <c r="AM8" s="97">
        <v>1800</v>
      </c>
      <c r="AN8" s="97">
        <v>2000</v>
      </c>
      <c r="AO8" s="97">
        <v>2500</v>
      </c>
      <c r="AP8" s="97">
        <v>2700</v>
      </c>
      <c r="AQ8" s="97">
        <v>3000</v>
      </c>
      <c r="AR8" s="97">
        <v>3600</v>
      </c>
      <c r="AS8" s="97">
        <v>3750</v>
      </c>
      <c r="AT8" s="97">
        <v>4000</v>
      </c>
      <c r="AU8" s="97">
        <v>5000</v>
      </c>
      <c r="AV8" s="145">
        <v>5400</v>
      </c>
      <c r="AW8" s="191"/>
      <c r="AX8" s="190"/>
      <c r="AY8" s="190"/>
      <c r="AZ8" s="190"/>
      <c r="BA8" s="190"/>
      <c r="BB8" s="190"/>
      <c r="BC8" s="190"/>
      <c r="BE8" s="66" t="s">
        <v>11</v>
      </c>
    </row>
    <row r="9" spans="1:66" ht="25.05" customHeight="1" x14ac:dyDescent="0.35">
      <c r="B9" s="456" t="s">
        <v>130</v>
      </c>
      <c r="C9" s="414"/>
      <c r="D9" s="414"/>
      <c r="E9" s="521">
        <v>2</v>
      </c>
      <c r="F9" s="521"/>
      <c r="G9" s="521"/>
      <c r="H9" s="522"/>
      <c r="J9" s="360" t="s">
        <v>2</v>
      </c>
      <c r="K9" s="242" t="s">
        <v>198</v>
      </c>
      <c r="L9" s="128">
        <f>K4</f>
        <v>2580</v>
      </c>
      <c r="M9" s="129">
        <f>IF(AND(E3&gt;0,E9=BE4),2,IF(AND(E3&gt;0,E9=BE5),4,0))</f>
        <v>4</v>
      </c>
      <c r="N9" s="129"/>
      <c r="O9" s="374">
        <f>IF(L9&gt;2650,M9,M9/2)</f>
        <v>2</v>
      </c>
      <c r="P9" s="276"/>
      <c r="Q9" s="276"/>
      <c r="R9" s="264">
        <f>IF(E7=BE65,O9*Цены!I8,IF(E7=BE66,O9*Цены!I9,IF(E7=BE67,O9*Цены!I10,IF(E7=BE68,O9*Цены!I11,O9*Цены!I14))))</f>
        <v>8773.9599999999991</v>
      </c>
      <c r="S9" s="259"/>
      <c r="T9" s="334" t="str">
        <f>J9</f>
        <v>вертикальный профиль</v>
      </c>
      <c r="U9" s="305"/>
      <c r="V9" s="305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126"/>
      <c r="AH9" s="363">
        <f>R9</f>
        <v>8773.9599999999991</v>
      </c>
      <c r="AI9" s="403">
        <v>0.69</v>
      </c>
      <c r="AJ9" s="3">
        <f>AI9*L9*M9/1000</f>
        <v>7.1207999999999991</v>
      </c>
      <c r="AK9" s="144"/>
      <c r="AL9" s="144"/>
      <c r="AM9" s="144"/>
      <c r="AN9" s="144"/>
      <c r="AO9" s="144"/>
      <c r="AP9" s="144"/>
      <c r="AQ9" s="144"/>
      <c r="AR9" s="144"/>
      <c r="AS9" s="144"/>
      <c r="AT9" s="144"/>
      <c r="AU9" s="144"/>
      <c r="AV9" s="144"/>
      <c r="AW9" s="189"/>
      <c r="AX9" s="144"/>
      <c r="AY9" s="144"/>
      <c r="AZ9" s="144"/>
      <c r="BA9" s="192"/>
      <c r="BB9" s="192"/>
      <c r="BC9" s="192"/>
      <c r="BE9" s="66" t="s">
        <v>12</v>
      </c>
      <c r="BN9" s="1" t="s">
        <v>489</v>
      </c>
    </row>
    <row r="10" spans="1:66" ht="25.05" customHeight="1" x14ac:dyDescent="0.3">
      <c r="B10" s="456" t="s">
        <v>173</v>
      </c>
      <c r="C10" s="414"/>
      <c r="D10" s="414"/>
      <c r="E10" s="499" t="s">
        <v>175</v>
      </c>
      <c r="F10" s="499"/>
      <c r="G10" s="499"/>
      <c r="H10" s="500"/>
      <c r="J10" s="360" t="s">
        <v>3</v>
      </c>
      <c r="K10" s="242" t="s">
        <v>270</v>
      </c>
      <c r="L10" s="128">
        <f>K5-78</f>
        <v>412</v>
      </c>
      <c r="M10" s="129">
        <f>IF(E4=0,0,IF(E8=BE59,E9,E9*2))</f>
        <v>4</v>
      </c>
      <c r="N10" s="364">
        <f t="shared" ref="N10:N13" si="0">L10*M10</f>
        <v>1648</v>
      </c>
      <c r="O10" s="372">
        <f>AX10+IF(AW10&gt;0,1,0)</f>
        <v>1</v>
      </c>
      <c r="P10" s="276"/>
      <c r="Q10" s="276"/>
      <c r="R10" s="264">
        <f>IF(E7=BE65,O10*Цены!I29,IF(E7=BE66,O10*Цены!I30,IF(E7=BE67,O10*Цены!I31,IF(E7=BE68,O10*Цены!I32,O10*Цены!I35))))</f>
        <v>2648.86</v>
      </c>
      <c r="S10" s="259"/>
      <c r="T10" s="334" t="str">
        <f t="shared" ref="T10:T13" si="1">J10</f>
        <v>рамка верхняя</v>
      </c>
      <c r="U10" s="283">
        <f>AK10</f>
        <v>0</v>
      </c>
      <c r="V10" s="283"/>
      <c r="W10" s="362">
        <f t="shared" ref="W10:AB10" si="2">AM10</f>
        <v>0</v>
      </c>
      <c r="X10" s="362">
        <f t="shared" si="2"/>
        <v>1</v>
      </c>
      <c r="Y10" s="362">
        <f t="shared" si="2"/>
        <v>0</v>
      </c>
      <c r="Z10" s="362">
        <f t="shared" si="2"/>
        <v>0</v>
      </c>
      <c r="AA10" s="362">
        <f t="shared" si="2"/>
        <v>0</v>
      </c>
      <c r="AB10" s="362">
        <f t="shared" si="2"/>
        <v>0</v>
      </c>
      <c r="AC10" s="362"/>
      <c r="AD10" s="362">
        <f t="shared" ref="AD10:AF10" si="3">AT10</f>
        <v>0</v>
      </c>
      <c r="AE10" s="362">
        <f t="shared" si="3"/>
        <v>0</v>
      </c>
      <c r="AF10" s="362">
        <f t="shared" si="3"/>
        <v>0</v>
      </c>
      <c r="AG10" s="364">
        <f>U10*$U$8+X10*$X$8+AA10*$AA$8+AD10*$AD$8+AE10*$AE$8</f>
        <v>2000</v>
      </c>
      <c r="AH10" s="347">
        <f>IF($E$7=$BE$65,(U10*0.2+X10*0.4+AA10*0.6+AD10*0.8+AE10)*Цены!$I$29,
IF($E$7=$BE$66,(U10*0.2+X10*0.4+AA10*0.6+AD10*0.8+AE10)*Цены!$I$30,
IF($E$7=$BE$67,(U10*0.2+X10*0.4+AA10*0.6+AD10*0.8+AE10)*Цены!$I$31,
IF($E$7=$BE$68,(U10*0.2+X10*0.4+AA10*0.6+AD10*0.8+AE10)*Цены!$I$32,
(U10*0.2+X10*0.4+AA10*0.6+AD10*0.8+AE10)*Цены!$I$35))))</f>
        <v>1059.5440000000001</v>
      </c>
      <c r="AI10" s="404">
        <v>0.47399999999999998</v>
      </c>
      <c r="AJ10" s="3">
        <f>AI10*L10*M10/1000</f>
        <v>0.78115199999999996</v>
      </c>
      <c r="AK10" s="144">
        <f>IF(AND(AW10&gt;0,AW10&lt;=1000),1,0)</f>
        <v>0</v>
      </c>
      <c r="AL10" s="146"/>
      <c r="AM10" s="146"/>
      <c r="AN10" s="144">
        <f>IF(AND(AW10&gt;1000,AW10&lt;=2000),1,0)</f>
        <v>1</v>
      </c>
      <c r="AO10" s="146"/>
      <c r="AP10" s="146"/>
      <c r="AQ10" s="144">
        <f>IF(AND(AW10&gt;2000,AW10&lt;=3000),1,0)</f>
        <v>0</v>
      </c>
      <c r="AR10" s="146"/>
      <c r="AS10" s="146"/>
      <c r="AT10" s="144">
        <f>IF(AND(AW10&gt;3000,AW10&lt;=4000),1,0)</f>
        <v>0</v>
      </c>
      <c r="AU10" s="144">
        <f>IF(AND(AW10&gt;4000,AW10&lt;=5000),AX10+1,AX10)</f>
        <v>0</v>
      </c>
      <c r="AV10" s="146"/>
      <c r="AW10" s="189">
        <f>N10-INT($AN$5/L10)*L10*AX10</f>
        <v>1648</v>
      </c>
      <c r="AX10" s="144">
        <f>INT(M10/INT($AN$5/L10))</f>
        <v>0</v>
      </c>
      <c r="AY10" s="144"/>
      <c r="AZ10" s="144"/>
      <c r="BA10" s="192"/>
      <c r="BB10" s="192"/>
      <c r="BC10" s="192"/>
      <c r="BE10" s="66" t="s">
        <v>13</v>
      </c>
      <c r="BN10" s="1" t="s">
        <v>487</v>
      </c>
    </row>
    <row r="11" spans="1:66" ht="25.05" customHeight="1" x14ac:dyDescent="0.3">
      <c r="B11" s="445" t="s">
        <v>164</v>
      </c>
      <c r="C11" s="446"/>
      <c r="D11" s="446"/>
      <c r="E11" s="499" t="s">
        <v>135</v>
      </c>
      <c r="F11" s="499"/>
      <c r="G11" s="499"/>
      <c r="H11" s="500"/>
      <c r="J11" s="360" t="s">
        <v>4</v>
      </c>
      <c r="K11" s="242" t="s">
        <v>199</v>
      </c>
      <c r="L11" s="128">
        <f>K5-78</f>
        <v>412</v>
      </c>
      <c r="M11" s="129">
        <f>IF(E4=0,0,IF(E8=BE59,E9,0))</f>
        <v>0</v>
      </c>
      <c r="N11" s="364">
        <f t="shared" si="0"/>
        <v>0</v>
      </c>
      <c r="O11" s="372">
        <f>AX11+IF(AW11&gt;0,1,0)</f>
        <v>0</v>
      </c>
      <c r="P11" s="276"/>
      <c r="Q11" s="276"/>
      <c r="R11" s="264">
        <f>IF(E7=BE65,O11*Цены!I37,IF(E7=BE66,O11*Цены!I38,IF(E7=BE67,O11*Цены!I39,IF(E7=BE68,O11*Цены!I40,O11*Цены!I43))))</f>
        <v>0</v>
      </c>
      <c r="S11" s="259"/>
      <c r="T11" s="334" t="str">
        <f t="shared" si="1"/>
        <v>рамка нижняя</v>
      </c>
      <c r="U11" s="283">
        <f t="shared" ref="U11:U13" si="4">AK11</f>
        <v>0</v>
      </c>
      <c r="V11" s="283"/>
      <c r="W11" s="362">
        <f t="shared" ref="W11:W13" si="5">AM11</f>
        <v>0</v>
      </c>
      <c r="X11" s="362">
        <f t="shared" ref="X11:X13" si="6">AN11</f>
        <v>0</v>
      </c>
      <c r="Y11" s="362">
        <f t="shared" ref="Y11:Y13" si="7">AO11</f>
        <v>0</v>
      </c>
      <c r="Z11" s="362">
        <f t="shared" ref="Z11:Z13" si="8">AP11</f>
        <v>0</v>
      </c>
      <c r="AA11" s="362">
        <f t="shared" ref="AA11:AA13" si="9">AQ11</f>
        <v>0</v>
      </c>
      <c r="AB11" s="362">
        <f t="shared" ref="AB11:AB13" si="10">AR11</f>
        <v>0</v>
      </c>
      <c r="AC11" s="362"/>
      <c r="AD11" s="362">
        <f t="shared" ref="AD11:AD13" si="11">AT11</f>
        <v>0</v>
      </c>
      <c r="AE11" s="362">
        <f t="shared" ref="AE11:AE13" si="12">AU11</f>
        <v>0</v>
      </c>
      <c r="AF11" s="362">
        <f t="shared" ref="AF11:AF13" si="13">AV11</f>
        <v>0</v>
      </c>
      <c r="AG11" s="364">
        <f t="shared" ref="AG11" si="14">U11*$U$8+X11*$X$8+AA11*$AA$8+AD11*$AD$8+AE11*$AE$8</f>
        <v>0</v>
      </c>
      <c r="AH11" s="347">
        <f>IF($E$7=$BE$65,(U11*0.2+X11*0.4+AA11*0.6+AD11*0.8+AE11)*Цены!$I$37,
IF($E$7=$BE$66,(U11*0.2+X11*0.4+AA11*0.6+AD11*0.8+AE11)*Цены!$I$38,
IF($E$7=$BE$67,(U11*0.2+X11*0.4+AA11*0.6+AD11*0.8+AE11)*Цены!$I$39,
IF($E$7=$BE$68,(U11*0.2+X11*0.4+AA11*0.6+AD11*0.8+AE11)*Цены!$I$40,
(U11*0.2+X11*0.4+AA11*0.6+AD11*0.8+AE11)*Цены!$I$43))))</f>
        <v>0</v>
      </c>
      <c r="AI11" s="404">
        <v>0.379</v>
      </c>
      <c r="AJ11" s="3">
        <f>AI11*L11*M11/1000</f>
        <v>0</v>
      </c>
      <c r="AK11" s="144">
        <f>IF(AND(AW11&gt;0,AW11&lt;=1000),1,0)</f>
        <v>0</v>
      </c>
      <c r="AL11" s="146"/>
      <c r="AM11" s="146"/>
      <c r="AN11" s="144">
        <f>IF(AND(AW11&gt;1000,AW11&lt;=2000),1,0)</f>
        <v>0</v>
      </c>
      <c r="AO11" s="146"/>
      <c r="AP11" s="146"/>
      <c r="AQ11" s="144">
        <f>IF(AND(AW11&gt;2000,AW11&lt;=3000),1,0)</f>
        <v>0</v>
      </c>
      <c r="AR11" s="146"/>
      <c r="AS11" s="146"/>
      <c r="AT11" s="144">
        <f>IF(AND(AW11&gt;3000,AW11&lt;=4000),1,0)</f>
        <v>0</v>
      </c>
      <c r="AU11" s="144">
        <f>IF(AND(AW11&gt;4000,AW11&lt;=5000),AX11+1,AX11)</f>
        <v>0</v>
      </c>
      <c r="AV11" s="146"/>
      <c r="AW11" s="189">
        <f>N11-INT($AN$5/L11)*L11*AX11</f>
        <v>0</v>
      </c>
      <c r="AX11" s="144">
        <f>INT(M11/INT($AN$5/L11))</f>
        <v>0</v>
      </c>
      <c r="AY11" s="144"/>
      <c r="AZ11" s="144"/>
      <c r="BA11" s="192"/>
      <c r="BB11" s="192" t="s">
        <v>277</v>
      </c>
      <c r="BC11" s="193" t="s">
        <v>278</v>
      </c>
      <c r="BE11" s="5"/>
      <c r="BN11" s="1" t="s">
        <v>488</v>
      </c>
    </row>
    <row r="12" spans="1:66" ht="25.05" customHeight="1" x14ac:dyDescent="0.3">
      <c r="B12" s="515" t="s">
        <v>177</v>
      </c>
      <c r="C12" s="516"/>
      <c r="D12" s="516"/>
      <c r="E12" s="526">
        <v>0</v>
      </c>
      <c r="F12" s="526"/>
      <c r="G12" s="526"/>
      <c r="H12" s="527"/>
      <c r="J12" s="136" t="str">
        <f>E6</f>
        <v>рамка средняя 4в1</v>
      </c>
      <c r="K12" s="242" t="str">
        <f>IF(J12=BH4,BI4,BI5)</f>
        <v>FA0716.VP500</v>
      </c>
      <c r="L12" s="128">
        <f>IF(AND(E6=BH5,E5&gt;0),K5-78,IF(AND(E6=BH4,E5&gt;0),K5-76,0))</f>
        <v>0</v>
      </c>
      <c r="M12" s="129">
        <f>E5*E9</f>
        <v>0</v>
      </c>
      <c r="N12" s="364">
        <f t="shared" si="0"/>
        <v>0</v>
      </c>
      <c r="O12" s="372">
        <f>IF(J12=BH5,AX12+IF(AW12&gt;0,1,0),BA12+IF(AZ12&gt;0,1,0))</f>
        <v>0</v>
      </c>
      <c r="P12" s="276"/>
      <c r="Q12" s="276"/>
      <c r="R12" s="264">
        <f>IF(J12=BH4,BG4,BG5)</f>
        <v>0</v>
      </c>
      <c r="S12" s="259"/>
      <c r="T12" s="334" t="str">
        <f t="shared" si="1"/>
        <v>рамка средняя 4в1</v>
      </c>
      <c r="U12" s="283">
        <f t="shared" si="4"/>
        <v>0</v>
      </c>
      <c r="V12" s="283"/>
      <c r="W12" s="362">
        <f t="shared" si="5"/>
        <v>0</v>
      </c>
      <c r="X12" s="362">
        <f t="shared" si="6"/>
        <v>0</v>
      </c>
      <c r="Y12" s="362">
        <f t="shared" si="7"/>
        <v>0</v>
      </c>
      <c r="Z12" s="362">
        <f t="shared" si="8"/>
        <v>0</v>
      </c>
      <c r="AA12" s="362">
        <f t="shared" si="9"/>
        <v>0</v>
      </c>
      <c r="AB12" s="362">
        <f t="shared" si="10"/>
        <v>0</v>
      </c>
      <c r="AC12" s="362"/>
      <c r="AD12" s="362">
        <f t="shared" si="11"/>
        <v>0</v>
      </c>
      <c r="AE12" s="362">
        <f t="shared" si="12"/>
        <v>0</v>
      </c>
      <c r="AF12" s="362">
        <f t="shared" si="13"/>
        <v>0</v>
      </c>
      <c r="AG12" s="364">
        <f>U12*$U$8+W12*W8+X12*$X$8+Z12*Z8+AA12*$AA$8+AB12*AB8+AD12*$AD$8+AE12*$AE$8+AF12*AF8</f>
        <v>0</v>
      </c>
      <c r="AH12" s="355">
        <f>IF(E6=BH4,BC12,BB12)</f>
        <v>0</v>
      </c>
      <c r="AI12" s="404">
        <v>0.58499999999999996</v>
      </c>
      <c r="AJ12" s="3">
        <f>AI12*L12*M12/1000</f>
        <v>0</v>
      </c>
      <c r="AK12" s="194">
        <f>IF(AND(J12=BH5,AW12&gt;0,AW12&lt;=1000),1,0)</f>
        <v>0</v>
      </c>
      <c r="AL12" s="146"/>
      <c r="AM12" s="195">
        <f>IF(AND(J12=BH4,AZ12&gt;0,AZ12&lt;=1800),1,0)</f>
        <v>0</v>
      </c>
      <c r="AN12" s="194">
        <f>IF(AND(J12=BH5,AW12&gt;1000,AW12&lt;=2000),1,0)</f>
        <v>0</v>
      </c>
      <c r="AO12" s="146"/>
      <c r="AP12" s="195">
        <f>IF(AND(J12=BH4,AZ12&gt;1800,AZ12&lt;=2700),1,0)</f>
        <v>0</v>
      </c>
      <c r="AQ12" s="194">
        <f>IF(AND(J12=BH5,AW12&gt;2000,AW12&lt;=3000),1,0)</f>
        <v>0</v>
      </c>
      <c r="AR12" s="195">
        <f>IF(AND(J12=BH4,AZ12&gt;2700,AZ12&lt;=3600),1,0)</f>
        <v>0</v>
      </c>
      <c r="AS12" s="146"/>
      <c r="AT12" s="194">
        <f>IF(AND(J12=BH5,AW12&gt;3000,AW12&lt;=4000),1,0)</f>
        <v>0</v>
      </c>
      <c r="AU12" s="194">
        <f>IF(AND(J12=BH5,AW12&gt;4000,AW12&lt;=5000),AX12+1,AX12)</f>
        <v>0</v>
      </c>
      <c r="AV12" s="195">
        <f>IF(AND(J12=BH4,AZ12&gt;3600,AZ12&lt;=5400),BA12+1,BA12)</f>
        <v>0</v>
      </c>
      <c r="AW12" s="189">
        <f>IF(E5&lt;&gt;0,N12-INT(AN5/L12)*L12*AX12,0)</f>
        <v>0</v>
      </c>
      <c r="AX12" s="144">
        <f>IF(AND(E6=BH5,E5&lt;&gt;0),INT(M12/INT(AN5/L12)),0)</f>
        <v>0</v>
      </c>
      <c r="AY12" s="144"/>
      <c r="AZ12" s="144">
        <f>IF(E5&lt;&gt;0,N12-INT(AN5/L12)*L12*BA12,0)</f>
        <v>0</v>
      </c>
      <c r="BA12" s="192">
        <f>IF(AND(E6=BH5,E5&lt;&gt;0),INT(M12/INT(AN5/L12)),0)</f>
        <v>0</v>
      </c>
      <c r="BB12" s="192">
        <f>IF(E7=BE65,(U12*0.2+X12*0.4+AA12*0.6+AD12*0.8+AE12)*Цены!$I$45,
IF(E7=BE66,(U12*0.2+X12*0.4+AA12*0.6+AD12*0.8+AE12)*Цены!$I$46,
IF(E7=BE67,(U12*0.2+X12*0.4+AA12*0.6+AD12*0.8+AE12)*Цены!$I$47,
IF(E7=BE68,(U12*0.2+X12*0.4+AA12*0.6+AD12*0.8+AE12)*Цены!$I$48,
(U12*0.2+X12*0.4+AA12*0.6+AD12*0.8+AE12)*Цены!$I$51))))</f>
        <v>0</v>
      </c>
      <c r="BC12" s="192">
        <f>IF(E7=BE65,(W12*0.34+Z12*0.5+AB12*0.67+AF12)*Цены!$I$69,
IF(E7=BE66,(W12*0.34+Z12*0.5+AB12*0.67+AF12)*Цены!$I$70,
IF(E7=BE67,(W12*0.34+Z12*0.5+AB12*0.67+AF12)*Цены!$I$71,
IF(E7=BE68,(W12*0.34+Z12*0.5+AB12*0.67+AF12)*Цены!$I$71,
(W12*0.34+Z12*0.5+AB12*0.67+AF12)*Цены!$I$75))))</f>
        <v>0</v>
      </c>
      <c r="BE12" s="5"/>
    </row>
    <row r="13" spans="1:66" ht="25.05" customHeight="1" thickBot="1" x14ac:dyDescent="0.4">
      <c r="B13" s="515" t="s">
        <v>178</v>
      </c>
      <c r="C13" s="516"/>
      <c r="D13" s="516"/>
      <c r="E13" s="528">
        <v>540</v>
      </c>
      <c r="F13" s="528"/>
      <c r="G13" s="528"/>
      <c r="H13" s="529"/>
      <c r="J13" s="360" t="s">
        <v>18</v>
      </c>
      <c r="K13" s="242" t="s">
        <v>211</v>
      </c>
      <c r="L13" s="128">
        <f>E13</f>
        <v>540</v>
      </c>
      <c r="M13" s="129">
        <f>E9</f>
        <v>2</v>
      </c>
      <c r="N13" s="364">
        <f t="shared" si="0"/>
        <v>1080</v>
      </c>
      <c r="O13" s="372">
        <f>CEILING((L13*M13)/5400,1)</f>
        <v>1</v>
      </c>
      <c r="P13" s="276"/>
      <c r="Q13" s="276"/>
      <c r="R13" s="292">
        <f>IF(OR($E$7=BE65,$E$7=BE71),O13*Цены!$I$26,IF(OR($E$7=BE66,$E$7=BE69,$E$7=BE72),O13*Цены!$I$27,O13*Цены!$I$28))</f>
        <v>1079.18</v>
      </c>
      <c r="S13" s="281"/>
      <c r="T13" s="334" t="str">
        <f t="shared" si="1"/>
        <v>ручка-рейлинг</v>
      </c>
      <c r="U13" s="283">
        <f t="shared" si="4"/>
        <v>0</v>
      </c>
      <c r="V13" s="283"/>
      <c r="W13" s="362">
        <f t="shared" si="5"/>
        <v>0</v>
      </c>
      <c r="X13" s="362">
        <f t="shared" si="6"/>
        <v>0</v>
      </c>
      <c r="Y13" s="362">
        <f t="shared" si="7"/>
        <v>0</v>
      </c>
      <c r="Z13" s="362">
        <f t="shared" si="8"/>
        <v>1</v>
      </c>
      <c r="AA13" s="362">
        <f t="shared" si="9"/>
        <v>0</v>
      </c>
      <c r="AB13" s="362">
        <f t="shared" si="10"/>
        <v>0</v>
      </c>
      <c r="AC13" s="362"/>
      <c r="AD13" s="362">
        <f t="shared" si="11"/>
        <v>0</v>
      </c>
      <c r="AE13" s="362">
        <f t="shared" si="12"/>
        <v>0</v>
      </c>
      <c r="AF13" s="362">
        <f t="shared" si="13"/>
        <v>0</v>
      </c>
      <c r="AG13" s="364">
        <f>Z13*Z8+AF13*AF8</f>
        <v>2700</v>
      </c>
      <c r="AH13" s="401">
        <f>IF(OR($E$7=$BE$65,$E$7=BE71),(Z13*0.5+AF13)*Цены!$I$26,
IF(OR($E$7=BE66,$E$7=BE69,$E$7=BE72),(Z13*0.5+AF13)*Цены!$I$27,
(Z13*0.5+AF13)*Цены!$I$28))</f>
        <v>539.59</v>
      </c>
      <c r="AI13" s="405">
        <v>0.33600000000000002</v>
      </c>
      <c r="AJ13" s="3">
        <f>AI13*L12*M12/1000</f>
        <v>0</v>
      </c>
      <c r="AK13" s="196"/>
      <c r="AL13" s="196"/>
      <c r="AM13" s="196"/>
      <c r="AN13" s="196"/>
      <c r="AO13" s="196"/>
      <c r="AP13" s="144">
        <f>IF(AND(AZ13&gt;0,AZ13&lt;=2700),1,0)</f>
        <v>1</v>
      </c>
      <c r="AQ13" s="196"/>
      <c r="AR13" s="196"/>
      <c r="AS13" s="196"/>
      <c r="AT13" s="196"/>
      <c r="AU13" s="196"/>
      <c r="AV13" s="144">
        <f>IF(AND(AZ13&gt;2700,AZ13&lt;=5400),BA13+1,BA13)</f>
        <v>0</v>
      </c>
      <c r="AW13" s="189"/>
      <c r="AX13" s="144"/>
      <c r="AY13" s="189"/>
      <c r="AZ13" s="189">
        <f>N13-AN7*AX13</f>
        <v>1080</v>
      </c>
      <c r="BA13" s="189">
        <f>INT(N13/AN7)</f>
        <v>0</v>
      </c>
      <c r="BB13" s="189"/>
      <c r="BC13" s="189"/>
    </row>
    <row r="14" spans="1:66" ht="25.05" customHeight="1" thickBot="1" x14ac:dyDescent="0.35">
      <c r="B14" s="517" t="s">
        <v>183</v>
      </c>
      <c r="C14" s="518"/>
      <c r="D14" s="518"/>
      <c r="E14" s="450" t="s">
        <v>105</v>
      </c>
      <c r="F14" s="450"/>
      <c r="G14" s="450"/>
      <c r="H14" s="451"/>
      <c r="J14" s="268"/>
      <c r="K14" s="269"/>
      <c r="L14" s="269"/>
      <c r="M14" s="269"/>
      <c r="N14" s="269"/>
      <c r="O14" s="270"/>
      <c r="P14" s="249"/>
      <c r="Q14" s="249"/>
      <c r="R14" s="137">
        <f>SUM(R9:R13)</f>
        <v>12502</v>
      </c>
      <c r="S14" s="285"/>
      <c r="T14" s="397"/>
      <c r="U14" s="523" t="s">
        <v>109</v>
      </c>
      <c r="V14" s="523"/>
      <c r="W14" s="424"/>
      <c r="X14" s="424"/>
      <c r="Y14" s="424"/>
      <c r="Z14" s="424"/>
      <c r="AA14" s="424"/>
      <c r="AB14" s="424"/>
      <c r="AC14" s="424"/>
      <c r="AD14" s="424"/>
      <c r="AE14" s="424"/>
      <c r="AF14" s="424"/>
      <c r="AG14" s="425"/>
      <c r="AH14" s="137">
        <f>SUM(AH9:AH13)</f>
        <v>10373.093999999999</v>
      </c>
      <c r="AI14" s="409">
        <v>0.16900000000000001</v>
      </c>
      <c r="AJ14" s="3">
        <f>AI14*L13*M13/1000</f>
        <v>0.18252000000000002</v>
      </c>
      <c r="AK14" s="5"/>
      <c r="AL14" s="5"/>
      <c r="AM14" s="5"/>
      <c r="AN14" s="5"/>
      <c r="AO14" s="5"/>
      <c r="AP14" s="245" t="s">
        <v>455</v>
      </c>
      <c r="AQ14" s="5"/>
      <c r="AT14" s="5"/>
      <c r="AU14" s="5"/>
      <c r="AV14" s="5"/>
      <c r="AX14" s="5"/>
      <c r="AY14" s="5"/>
      <c r="AZ14" s="5"/>
      <c r="BA14" s="5"/>
      <c r="BB14" s="5"/>
      <c r="BC14" s="5"/>
    </row>
    <row r="15" spans="1:66" ht="25.05" customHeight="1" thickBot="1" x14ac:dyDescent="0.35">
      <c r="J15" s="359"/>
      <c r="K15" s="345"/>
      <c r="L15" s="345"/>
      <c r="M15" s="345"/>
      <c r="N15" s="345"/>
      <c r="O15" s="50"/>
      <c r="P15" s="345"/>
      <c r="Q15" s="345"/>
      <c r="R15" s="316"/>
      <c r="S15" s="345"/>
      <c r="T15" s="345"/>
      <c r="U15" s="345"/>
      <c r="V15" s="345"/>
      <c r="W15" s="345"/>
      <c r="X15" s="345"/>
      <c r="Y15" s="345"/>
      <c r="Z15" s="345"/>
      <c r="AA15" s="345"/>
      <c r="AB15" s="345"/>
      <c r="AC15" s="345"/>
      <c r="AD15" s="345"/>
      <c r="AE15" s="345"/>
      <c r="AF15" s="345"/>
      <c r="AG15" s="345"/>
      <c r="AH15" s="287"/>
      <c r="AI15" s="3"/>
      <c r="AJ15" s="55">
        <f>IF(E6=BH4,AJ9+AJ10+AJ11+AJ13+AJ14,AJ9+AJ10+AJ11+AJ12+AJ14)</f>
        <v>8.0844719999999981</v>
      </c>
      <c r="AK15" s="144" t="s">
        <v>274</v>
      </c>
      <c r="AL15" s="144"/>
      <c r="AM15" s="144"/>
      <c r="AN15" s="189">
        <v>5000</v>
      </c>
      <c r="AO15" s="189"/>
      <c r="AP15" s="189"/>
      <c r="AQ15" s="189"/>
      <c r="AR15" s="189"/>
      <c r="AS15" s="189"/>
      <c r="AT15" s="189"/>
      <c r="AU15" s="189"/>
      <c r="AV15" s="189"/>
      <c r="AW15" s="189"/>
      <c r="AX15" s="190"/>
      <c r="AY15" s="190"/>
      <c r="AZ15" s="190"/>
      <c r="BA15" s="190"/>
      <c r="BB15" s="190"/>
      <c r="BC15" s="190"/>
      <c r="BE15" s="49">
        <v>0</v>
      </c>
    </row>
    <row r="16" spans="1:66" ht="25.05" customHeight="1" thickBot="1" x14ac:dyDescent="0.35">
      <c r="J16" s="112"/>
      <c r="K16" s="9"/>
      <c r="L16" s="9"/>
      <c r="M16" s="5"/>
      <c r="N16" s="5"/>
      <c r="O16" s="56"/>
      <c r="P16" s="9"/>
      <c r="Q16" s="9"/>
      <c r="R16" s="9"/>
      <c r="S16" s="9"/>
      <c r="T16" s="323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6"/>
      <c r="AJ16" s="296">
        <f>AJ15/E9</f>
        <v>4.0422359999999991</v>
      </c>
      <c r="AK16" s="144" t="s">
        <v>275</v>
      </c>
      <c r="AL16" s="144"/>
      <c r="AM16" s="144"/>
      <c r="AN16" s="144">
        <v>5075</v>
      </c>
      <c r="AO16" s="189"/>
      <c r="AP16" s="144"/>
      <c r="AQ16" s="144"/>
      <c r="AR16" s="144"/>
      <c r="AS16" s="144"/>
      <c r="AT16" s="144"/>
      <c r="AU16" s="144"/>
      <c r="AV16" s="144"/>
      <c r="AW16" s="144"/>
      <c r="AX16" s="190"/>
      <c r="AY16" s="190"/>
      <c r="AZ16" s="190"/>
      <c r="BA16" s="190"/>
      <c r="BB16" s="190"/>
      <c r="BC16" s="190"/>
      <c r="BE16" s="49">
        <v>1</v>
      </c>
    </row>
    <row r="17" spans="2:70" ht="25.05" customHeight="1" thickBot="1" x14ac:dyDescent="0.35">
      <c r="B17" s="59"/>
      <c r="C17" s="60"/>
      <c r="D17" s="60"/>
      <c r="E17" s="60"/>
      <c r="F17" s="60"/>
      <c r="G17" s="60"/>
      <c r="H17" s="61"/>
      <c r="I17" s="77"/>
      <c r="J17" s="508" t="s">
        <v>187</v>
      </c>
      <c r="K17" s="473"/>
      <c r="L17" s="473"/>
      <c r="M17" s="345"/>
      <c r="N17" s="5"/>
      <c r="O17" s="11"/>
      <c r="R17" s="288"/>
      <c r="S17" s="18"/>
      <c r="T17" s="398"/>
      <c r="U17" s="524" t="s">
        <v>106</v>
      </c>
      <c r="V17" s="524"/>
      <c r="W17" s="426"/>
      <c r="X17" s="426"/>
      <c r="Y17" s="426"/>
      <c r="Z17" s="426"/>
      <c r="AA17" s="426"/>
      <c r="AB17" s="426"/>
      <c r="AC17" s="426"/>
      <c r="AD17" s="426"/>
      <c r="AE17" s="426"/>
      <c r="AF17" s="426"/>
      <c r="AG17" s="426"/>
      <c r="AH17" s="427"/>
      <c r="AI17" s="5"/>
      <c r="AJ17" s="5"/>
      <c r="AK17" s="189" t="s">
        <v>276</v>
      </c>
      <c r="AL17" s="189"/>
      <c r="AM17" s="189"/>
      <c r="AN17" s="144">
        <v>5400</v>
      </c>
      <c r="AO17" s="189"/>
      <c r="AP17" s="144"/>
      <c r="AQ17" s="144"/>
      <c r="AR17" s="144"/>
      <c r="AS17" s="144"/>
      <c r="AT17" s="144"/>
      <c r="AU17" s="144"/>
      <c r="AV17" s="144"/>
      <c r="AW17" s="144"/>
      <c r="AX17" s="190"/>
      <c r="AY17" s="190"/>
      <c r="AZ17" s="190"/>
      <c r="BA17" s="190"/>
      <c r="BB17" s="190"/>
      <c r="BC17" s="190"/>
      <c r="BE17" s="49">
        <v>2</v>
      </c>
      <c r="BO17" s="1"/>
    </row>
    <row r="18" spans="2:70" ht="25.05" customHeight="1" thickBot="1" x14ac:dyDescent="0.4">
      <c r="B18" s="62" t="s">
        <v>113</v>
      </c>
      <c r="C18" s="63">
        <f>E5+1</f>
        <v>1</v>
      </c>
      <c r="D18" s="100"/>
      <c r="E18" s="100"/>
      <c r="F18" s="100"/>
      <c r="G18" s="100"/>
      <c r="H18" s="65"/>
      <c r="I18" s="77"/>
      <c r="J18" s="468" t="s">
        <v>0</v>
      </c>
      <c r="K18" s="469"/>
      <c r="L18" s="469"/>
      <c r="M18" s="469"/>
      <c r="N18" s="341" t="s">
        <v>1</v>
      </c>
      <c r="O18" s="243" t="s">
        <v>9</v>
      </c>
      <c r="P18" s="143"/>
      <c r="Q18" s="143"/>
      <c r="R18" s="265" t="s">
        <v>25</v>
      </c>
      <c r="S18" s="143"/>
      <c r="T18" s="352"/>
      <c r="U18" s="197">
        <v>1000</v>
      </c>
      <c r="V18" s="197">
        <v>1250</v>
      </c>
      <c r="W18" s="97">
        <v>1800</v>
      </c>
      <c r="X18" s="97">
        <v>2000</v>
      </c>
      <c r="Y18" s="97">
        <v>2500</v>
      </c>
      <c r="Z18" s="97">
        <v>2700</v>
      </c>
      <c r="AA18" s="97">
        <v>3000</v>
      </c>
      <c r="AB18" s="97">
        <v>3600</v>
      </c>
      <c r="AC18" s="97">
        <v>3750</v>
      </c>
      <c r="AD18" s="97">
        <v>4000</v>
      </c>
      <c r="AE18" s="97">
        <v>5000</v>
      </c>
      <c r="AF18" s="97">
        <v>5400</v>
      </c>
      <c r="AG18" s="209" t="s">
        <v>107</v>
      </c>
      <c r="AH18" s="53" t="s">
        <v>25</v>
      </c>
      <c r="AI18" s="5"/>
      <c r="AJ18" s="5"/>
      <c r="AK18" s="97">
        <v>1000</v>
      </c>
      <c r="AL18" s="97">
        <v>1250</v>
      </c>
      <c r="AM18" s="97">
        <v>1800</v>
      </c>
      <c r="AN18" s="97">
        <v>2000</v>
      </c>
      <c r="AO18" s="97">
        <v>2500</v>
      </c>
      <c r="AP18" s="97">
        <v>2700</v>
      </c>
      <c r="AQ18" s="97">
        <v>3000</v>
      </c>
      <c r="AR18" s="97">
        <v>3600</v>
      </c>
      <c r="AS18" s="97">
        <v>3750</v>
      </c>
      <c r="AT18" s="97">
        <v>4000</v>
      </c>
      <c r="AU18" s="97">
        <v>5000</v>
      </c>
      <c r="AV18" s="145">
        <v>5400</v>
      </c>
      <c r="AW18" s="191"/>
      <c r="AX18" s="190"/>
      <c r="AY18" s="190"/>
      <c r="AZ18" s="190"/>
      <c r="BA18" s="190"/>
      <c r="BB18" s="190"/>
      <c r="BC18" s="190"/>
      <c r="BE18" s="49">
        <v>3</v>
      </c>
      <c r="BO18" s="1"/>
    </row>
    <row r="19" spans="2:70" ht="25.05" customHeight="1" x14ac:dyDescent="0.3">
      <c r="B19" s="67"/>
      <c r="C19" s="68"/>
      <c r="D19" s="68"/>
      <c r="E19" s="68"/>
      <c r="F19" s="68"/>
      <c r="G19" s="68"/>
      <c r="H19" s="69"/>
      <c r="J19" s="519" t="s">
        <v>58</v>
      </c>
      <c r="K19" s="520"/>
      <c r="L19" s="520"/>
      <c r="M19" s="520"/>
      <c r="N19" s="242" t="s">
        <v>212</v>
      </c>
      <c r="O19" s="291">
        <f>IF(E8=BE59,E9,0)</f>
        <v>0</v>
      </c>
      <c r="P19" s="277"/>
      <c r="Q19" s="277"/>
      <c r="R19" s="294">
        <f>O19*Цены!I100</f>
        <v>0</v>
      </c>
      <c r="S19" s="280"/>
      <c r="T19" s="399" t="str">
        <f>J9</f>
        <v>вертикальный профиль</v>
      </c>
      <c r="U19" s="283">
        <f>AK19</f>
        <v>0</v>
      </c>
      <c r="V19" s="283">
        <f t="shared" ref="V19:AF19" si="15">AL19</f>
        <v>0</v>
      </c>
      <c r="W19" s="283">
        <f t="shared" si="15"/>
        <v>0</v>
      </c>
      <c r="X19" s="283">
        <f t="shared" si="15"/>
        <v>0</v>
      </c>
      <c r="Y19" s="283">
        <f t="shared" si="15"/>
        <v>0</v>
      </c>
      <c r="Z19" s="283">
        <f t="shared" si="15"/>
        <v>0</v>
      </c>
      <c r="AA19" s="283">
        <f t="shared" si="15"/>
        <v>0</v>
      </c>
      <c r="AB19" s="283">
        <f t="shared" si="15"/>
        <v>0</v>
      </c>
      <c r="AC19" s="283">
        <f t="shared" si="15"/>
        <v>0</v>
      </c>
      <c r="AD19" s="283">
        <f t="shared" si="15"/>
        <v>0</v>
      </c>
      <c r="AE19" s="283">
        <f t="shared" si="15"/>
        <v>0</v>
      </c>
      <c r="AF19" s="283">
        <f t="shared" si="15"/>
        <v>0</v>
      </c>
      <c r="AG19" s="126"/>
      <c r="AH19" s="363">
        <f>R9</f>
        <v>8773.9599999999991</v>
      </c>
      <c r="AI19" s="5"/>
      <c r="AJ19" s="5"/>
      <c r="AK19" s="144"/>
      <c r="AL19" s="144"/>
      <c r="AM19" s="144"/>
      <c r="AN19" s="144"/>
      <c r="AO19" s="144"/>
      <c r="AP19" s="144"/>
      <c r="AQ19" s="144"/>
      <c r="AR19" s="144"/>
      <c r="AS19" s="144"/>
      <c r="AT19" s="144"/>
      <c r="AU19" s="144"/>
      <c r="AV19" s="144"/>
      <c r="AW19" s="189"/>
      <c r="AX19" s="144"/>
      <c r="AY19" s="144"/>
      <c r="AZ19" s="144"/>
      <c r="BA19" s="192"/>
      <c r="BB19" s="192"/>
      <c r="BC19" s="192"/>
      <c r="BE19" s="49">
        <v>4</v>
      </c>
      <c r="BO19" s="1"/>
    </row>
    <row r="20" spans="2:70" ht="25.05" customHeight="1" x14ac:dyDescent="0.3">
      <c r="B20" s="67"/>
      <c r="C20" s="68"/>
      <c r="D20" s="68"/>
      <c r="E20" s="68"/>
      <c r="F20" s="68"/>
      <c r="G20" s="68"/>
      <c r="H20" s="69"/>
      <c r="J20" s="519" t="s">
        <v>77</v>
      </c>
      <c r="K20" s="520"/>
      <c r="L20" s="520"/>
      <c r="M20" s="520"/>
      <c r="N20" s="242" t="s">
        <v>213</v>
      </c>
      <c r="O20" s="291">
        <f>IF(E10=BE33,E9,0)</f>
        <v>0</v>
      </c>
      <c r="P20" s="277"/>
      <c r="Q20" s="277"/>
      <c r="R20" s="294">
        <f>O20*Цены!I135</f>
        <v>0</v>
      </c>
      <c r="S20" s="280"/>
      <c r="T20" s="399" t="str">
        <f t="shared" ref="T20:T23" si="16">J10</f>
        <v>рамка верхняя</v>
      </c>
      <c r="U20" s="283">
        <f t="shared" ref="U20:U23" si="17">AK20</f>
        <v>0</v>
      </c>
      <c r="V20" s="283">
        <f t="shared" ref="V20:V23" si="18">AL20</f>
        <v>0</v>
      </c>
      <c r="W20" s="283">
        <f t="shared" ref="W20:W23" si="19">AM20</f>
        <v>0</v>
      </c>
      <c r="X20" s="283">
        <f t="shared" ref="X20:X23" si="20">AN20</f>
        <v>0</v>
      </c>
      <c r="Y20" s="283">
        <f t="shared" ref="Y20:Y23" si="21">AO20</f>
        <v>1</v>
      </c>
      <c r="Z20" s="283">
        <f t="shared" ref="Z20:Z23" si="22">AP20</f>
        <v>0</v>
      </c>
      <c r="AA20" s="283">
        <f t="shared" ref="AA20:AA23" si="23">AQ20</f>
        <v>0</v>
      </c>
      <c r="AB20" s="283">
        <f t="shared" ref="AB20:AB23" si="24">AR20</f>
        <v>0</v>
      </c>
      <c r="AC20" s="283">
        <f t="shared" ref="AC20:AC23" si="25">AS20</f>
        <v>0</v>
      </c>
      <c r="AD20" s="283">
        <f t="shared" ref="AD20:AD23" si="26">AT20</f>
        <v>0</v>
      </c>
      <c r="AE20" s="283">
        <f t="shared" ref="AE20:AE23" si="27">AU20</f>
        <v>0</v>
      </c>
      <c r="AF20" s="283">
        <f t="shared" ref="AF20:AF23" si="28">AV20</f>
        <v>0</v>
      </c>
      <c r="AG20" s="364">
        <f>V20*V18+Y20*Y18+AC20*AC18+AE20*AE18</f>
        <v>2500</v>
      </c>
      <c r="AH20" s="347">
        <f>IF($E$7=$BE$65,(V20*0.25+Y20*0.5+AC20*0.75+AE20)*Цены!$I$29,
IF($E$7=$BE$66,(V20*0.25+Y20*0.5+AC20*0.75+AE20)*Цены!$I$30,
IF($E$7=$BE$67,(V20*0.25+Y20*0.5+AC20*0.75+AE20)*Цены!$I$31,
IF($E$7=$BE$68,(V20*0.25+Y20*0.5+AC20*0.75+AE20)*Цены!$I$32,
(V20*0.25+Y20*0.5+AC20*0.75+AE20)*Цены!$I$35))))</f>
        <v>1324.43</v>
      </c>
      <c r="AI20" s="5"/>
      <c r="AJ20" s="5"/>
      <c r="AK20" s="146"/>
      <c r="AL20" s="144">
        <f>IF(AND(AW20&gt;0,AW20&lt;=1250),1,0)</f>
        <v>0</v>
      </c>
      <c r="AM20" s="146"/>
      <c r="AN20" s="146"/>
      <c r="AO20" s="144">
        <f>IF(AND(AW20&gt;1250,AW20&lt;=2500),1,0)</f>
        <v>1</v>
      </c>
      <c r="AP20" s="146"/>
      <c r="AQ20" s="146"/>
      <c r="AR20" s="146"/>
      <c r="AS20" s="144">
        <f>IF(AND(AW20&gt;2500,AW20&lt;=3750),1,0)</f>
        <v>0</v>
      </c>
      <c r="AT20" s="146"/>
      <c r="AU20" s="144">
        <f>IF(AND(AW20&gt;4000,AW20&lt;=5000),AX20+1,AX20)</f>
        <v>0</v>
      </c>
      <c r="AV20" s="146"/>
      <c r="AW20" s="189">
        <f>AW10</f>
        <v>1648</v>
      </c>
      <c r="AX20" s="189">
        <f>AX10</f>
        <v>0</v>
      </c>
      <c r="AY20" s="144"/>
      <c r="AZ20" s="144"/>
      <c r="BA20" s="192"/>
      <c r="BB20" s="192"/>
      <c r="BC20" s="192"/>
    </row>
    <row r="21" spans="2:70" ht="25.05" customHeight="1" x14ac:dyDescent="0.3">
      <c r="B21" s="70" t="s">
        <v>114</v>
      </c>
      <c r="C21" s="357" t="s">
        <v>115</v>
      </c>
      <c r="D21" s="71" t="s">
        <v>84</v>
      </c>
      <c r="E21" s="357" t="s">
        <v>116</v>
      </c>
      <c r="F21" s="357" t="s">
        <v>117</v>
      </c>
      <c r="G21" s="357" t="s">
        <v>133</v>
      </c>
      <c r="H21" s="72" t="s">
        <v>134</v>
      </c>
      <c r="J21" s="419" t="s">
        <v>153</v>
      </c>
      <c r="K21" s="420"/>
      <c r="L21" s="420"/>
      <c r="M21" s="420"/>
      <c r="N21" s="242" t="s">
        <v>214</v>
      </c>
      <c r="O21" s="372">
        <f>IF(E10=BE34,E9,0)</f>
        <v>0</v>
      </c>
      <c r="P21" s="253"/>
      <c r="Q21" s="253"/>
      <c r="R21" s="294">
        <f>O21*Цены!I153</f>
        <v>0</v>
      </c>
      <c r="S21" s="280"/>
      <c r="T21" s="399" t="str">
        <f t="shared" si="16"/>
        <v>рамка нижняя</v>
      </c>
      <c r="U21" s="283">
        <f t="shared" si="17"/>
        <v>0</v>
      </c>
      <c r="V21" s="283">
        <f t="shared" si="18"/>
        <v>0</v>
      </c>
      <c r="W21" s="283">
        <f t="shared" si="19"/>
        <v>0</v>
      </c>
      <c r="X21" s="283">
        <f t="shared" si="20"/>
        <v>0</v>
      </c>
      <c r="Y21" s="283">
        <f t="shared" si="21"/>
        <v>0</v>
      </c>
      <c r="Z21" s="283">
        <f t="shared" si="22"/>
        <v>0</v>
      </c>
      <c r="AA21" s="283">
        <f t="shared" si="23"/>
        <v>0</v>
      </c>
      <c r="AB21" s="283">
        <f t="shared" si="24"/>
        <v>0</v>
      </c>
      <c r="AC21" s="283">
        <f t="shared" si="25"/>
        <v>0</v>
      </c>
      <c r="AD21" s="283">
        <f t="shared" si="26"/>
        <v>0</v>
      </c>
      <c r="AE21" s="283">
        <f t="shared" si="27"/>
        <v>0</v>
      </c>
      <c r="AF21" s="283">
        <f t="shared" si="28"/>
        <v>0</v>
      </c>
      <c r="AG21" s="364">
        <f>V21*V18+Y21*Y18+AC21*AC18+AE21*AE18</f>
        <v>0</v>
      </c>
      <c r="AH21" s="347">
        <f>IF($E$7=$BE$65,(V21*0.25+Y21*0.5+AC21*0.75+AE21)*Цены!$I$37,
IF($E$7=$BE$66,(V21*0.25+Y21*0.5+AC21*0.75+AE21)*Цены!$I$38,
IF($E$7=$BE$67,(V21*0.25+Y21*0.5+AC21*0.75+AE21)*Цены!$I$39,
IF($E$7=$BE$68,(V21*0.25+Y21*0.5+AC21*0.75+AE21)*Цены!$I$40,
(V21*0.25+Y21*0.5+AC21*0.75+AE21)*Цены!$I$43))))</f>
        <v>0</v>
      </c>
      <c r="AI21" s="5"/>
      <c r="AJ21" s="5"/>
      <c r="AK21" s="146"/>
      <c r="AL21" s="144">
        <f t="shared" ref="AL21:AL22" si="29">IF(AND(AW21&gt;0,AW21&lt;=1250),1,0)</f>
        <v>0</v>
      </c>
      <c r="AM21" s="146"/>
      <c r="AN21" s="146"/>
      <c r="AO21" s="144">
        <f t="shared" ref="AO21:AO22" si="30">IF(AND(AW21&gt;1250,AW21&lt;=2500),1,0)</f>
        <v>0</v>
      </c>
      <c r="AP21" s="146"/>
      <c r="AQ21" s="146"/>
      <c r="AR21" s="146"/>
      <c r="AS21" s="144">
        <f t="shared" ref="AS21:AS22" si="31">IF(AND(AW21&gt;2500,AW21&lt;=3750),1,0)</f>
        <v>0</v>
      </c>
      <c r="AT21" s="146"/>
      <c r="AU21" s="144">
        <f>IF(AND(AW21&gt;4000,AW21&lt;=5000),AX21+1,AX21)</f>
        <v>0</v>
      </c>
      <c r="AV21" s="146"/>
      <c r="AW21" s="189">
        <f t="shared" ref="AW21:AX21" si="32">AW11</f>
        <v>0</v>
      </c>
      <c r="AX21" s="189">
        <f t="shared" si="32"/>
        <v>0</v>
      </c>
      <c r="AY21" s="144"/>
      <c r="AZ21" s="144"/>
      <c r="BA21" s="192"/>
      <c r="BB21" s="192" t="s">
        <v>277</v>
      </c>
      <c r="BC21" s="193" t="s">
        <v>278</v>
      </c>
      <c r="BE21" s="80" t="s">
        <v>124</v>
      </c>
      <c r="BR21" s="1" t="s">
        <v>449</v>
      </c>
    </row>
    <row r="22" spans="2:70" ht="25.05" customHeight="1" x14ac:dyDescent="0.3">
      <c r="B22" s="73" t="s">
        <v>118</v>
      </c>
      <c r="C22" s="15" t="s">
        <v>13</v>
      </c>
      <c r="D22" s="96">
        <v>0</v>
      </c>
      <c r="E22" s="16">
        <f>K4-IF(E26=0,0,IF(C26=BE8,E26,IF(C26=BE9,E26+2,E26+3)))-IF(E25=0,0,IF(C25=BE8,E25,IF(C25=BE9,E25+2,E25+3)))-IF(E24=0,0,IF(C24=BE8,E24,IF(C24=BE9,E24+2,E24+3)))-IF(E23=0,0,IF(C23=BE8,E23,IF(C23=BE9,E23+2,E23+3)))-44-IF(C22=BE9,2,IF(C22=BE10,3,0))-E5*BJ4</f>
        <v>2533</v>
      </c>
      <c r="F22" s="74">
        <f>IF(C22=$BE$10,$K$5-63,IF(C22=$BE$9,$K$5-62,$K$5-60))</f>
        <v>427</v>
      </c>
      <c r="G22" s="75">
        <f>$E$9</f>
        <v>2</v>
      </c>
      <c r="H22" s="76">
        <f>E22*F22*D22*G22/1000000</f>
        <v>0</v>
      </c>
      <c r="J22" s="419" t="s">
        <v>155</v>
      </c>
      <c r="K22" s="420"/>
      <c r="L22" s="420"/>
      <c r="M22" s="420"/>
      <c r="N22" s="242" t="s">
        <v>215</v>
      </c>
      <c r="O22" s="372">
        <f>IF(E10=BE35,E9,0)</f>
        <v>2</v>
      </c>
      <c r="P22" s="253"/>
      <c r="Q22" s="253"/>
      <c r="R22" s="294">
        <f>O22*Цены!I154</f>
        <v>119.8</v>
      </c>
      <c r="S22" s="280"/>
      <c r="T22" s="399" t="str">
        <f t="shared" si="16"/>
        <v>рамка средняя 4в1</v>
      </c>
      <c r="U22" s="283">
        <f t="shared" si="17"/>
        <v>0</v>
      </c>
      <c r="V22" s="283">
        <f t="shared" si="18"/>
        <v>0</v>
      </c>
      <c r="W22" s="283">
        <f t="shared" si="19"/>
        <v>0</v>
      </c>
      <c r="X22" s="283">
        <f t="shared" si="20"/>
        <v>0</v>
      </c>
      <c r="Y22" s="283">
        <f t="shared" si="21"/>
        <v>0</v>
      </c>
      <c r="Z22" s="283">
        <f t="shared" si="22"/>
        <v>0</v>
      </c>
      <c r="AA22" s="283">
        <f t="shared" si="23"/>
        <v>0</v>
      </c>
      <c r="AB22" s="283">
        <f t="shared" si="24"/>
        <v>0</v>
      </c>
      <c r="AC22" s="283">
        <f t="shared" si="25"/>
        <v>0</v>
      </c>
      <c r="AD22" s="283">
        <f t="shared" si="26"/>
        <v>0</v>
      </c>
      <c r="AE22" s="283">
        <f t="shared" si="27"/>
        <v>0</v>
      </c>
      <c r="AF22" s="283">
        <f t="shared" si="28"/>
        <v>0</v>
      </c>
      <c r="AG22" s="364">
        <f>V22*V18+W22*W18+Y22*Y18+Z22*Z18+AB22*AB18+AC22*AC18+AE22*AE18+AF22*AF18</f>
        <v>0</v>
      </c>
      <c r="AH22" s="355">
        <f>IF(E16=BH4,BC22,BB22)</f>
        <v>0</v>
      </c>
      <c r="AI22" s="5"/>
      <c r="AJ22" s="5"/>
      <c r="AK22" s="146"/>
      <c r="AL22" s="194">
        <f t="shared" si="29"/>
        <v>0</v>
      </c>
      <c r="AM22" s="195">
        <f>IF(AND(J22=BH14,AZ22&gt;0,AZ22&lt;=1800),1,0)</f>
        <v>0</v>
      </c>
      <c r="AN22" s="146"/>
      <c r="AO22" s="194">
        <f t="shared" si="30"/>
        <v>0</v>
      </c>
      <c r="AP22" s="195">
        <f>IF(AND(J22=BH14,AZ22&gt;1800,AZ22&lt;=2700),1,0)</f>
        <v>0</v>
      </c>
      <c r="AQ22" s="146"/>
      <c r="AR22" s="195">
        <f>IF(AND(J22=BH14,AZ22&gt;2700,AZ22&lt;=3600),1,0)</f>
        <v>0</v>
      </c>
      <c r="AS22" s="194">
        <f t="shared" si="31"/>
        <v>0</v>
      </c>
      <c r="AT22" s="146"/>
      <c r="AU22" s="194">
        <f>IF(AND(J22=BH15,AW22&gt;4000,AW22&lt;=5000),AX22+1,AX22)</f>
        <v>0</v>
      </c>
      <c r="AV22" s="195">
        <f>IF(AND(J22=BH14,AZ22&gt;3600,AZ22&lt;=5400),BA22+1,BA22)</f>
        <v>0</v>
      </c>
      <c r="AW22" s="189">
        <f t="shared" ref="AW22:BA23" si="33">AW12</f>
        <v>0</v>
      </c>
      <c r="AX22" s="189">
        <f t="shared" si="33"/>
        <v>0</v>
      </c>
      <c r="AY22" s="189"/>
      <c r="AZ22" s="189">
        <f t="shared" si="33"/>
        <v>0</v>
      </c>
      <c r="BA22" s="189">
        <f t="shared" si="33"/>
        <v>0</v>
      </c>
      <c r="BB22" s="192">
        <f>IF(E17=BE75,(V22*0.25+Y22*0.5+AC22*0.75+AE22)*Цены!$I$45,
IF(E17=BE76,(V22*0.25+Y22*0.5+AC22*0.75+AE22)*Цены!$I$46,
IF(E17=BE77,(V22*0.25+Y22*0.5+AC22*0.75+AE22)*Цены!$I$47,
IF(E17=BE78,(V22*0.25+Y22*0.5+AC22*0.75+AE22)*Цены!$I$48,
(V22*0.25+Y22*0.5+AC22*0.75+AE22)*Цены!$I$51))))</f>
        <v>0</v>
      </c>
      <c r="BC22" s="192">
        <f>IF(E17=BE75,(W22*0.34+Z22*0.5+AB22*0.67+AF22)*Цены!$I$69,
IF(E17=BE76,(W22*0.34+Z22*0.5+AB22*0.67+AF22)*Цены!$I$70,
IF(E17=BE77,(W22*0.34+Z22*0.5+AB22*0.67+AF22)*Цены!$I$71,
IF(E17=BE78,(W22*0.34+Z22*0.5+AB22*0.67+AF22)*Цены!$I$71,
(W22*0.34+Z22*0.5+AB22*0.67+AF22)*Цены!$I$75))))</f>
        <v>0</v>
      </c>
      <c r="BE22" s="80" t="s">
        <v>125</v>
      </c>
      <c r="BI22" s="309">
        <f>IF(E22&lt;&gt;0,1,0)</f>
        <v>1</v>
      </c>
      <c r="BR22" s="1" t="s">
        <v>454</v>
      </c>
    </row>
    <row r="23" spans="2:70" ht="25.05" customHeight="1" thickBot="1" x14ac:dyDescent="0.35">
      <c r="B23" s="73" t="s">
        <v>119</v>
      </c>
      <c r="C23" s="15" t="s">
        <v>11</v>
      </c>
      <c r="D23" s="96">
        <v>0</v>
      </c>
      <c r="E23" s="17">
        <v>0</v>
      </c>
      <c r="F23" s="74">
        <f>IF(C23=$BE$10,$K$5-63,IF(C23=$BE$9,$K$5-62,$K$5-60))</f>
        <v>430</v>
      </c>
      <c r="G23" s="75">
        <f>IF(E23&lt;&gt;0,$E$9,0)</f>
        <v>0</v>
      </c>
      <c r="H23" s="76">
        <f t="shared" ref="H23:H26" si="34">E23*F23*D23*G23/1000000</f>
        <v>0</v>
      </c>
      <c r="J23" s="519" t="s">
        <v>44</v>
      </c>
      <c r="K23" s="520"/>
      <c r="L23" s="520"/>
      <c r="M23" s="520"/>
      <c r="N23" s="242" t="s">
        <v>216</v>
      </c>
      <c r="O23" s="235">
        <f>IF(E13&lt;500,2*E9,E9*ROUNDDOWN((E13/500+1),0))</f>
        <v>4</v>
      </c>
      <c r="P23" s="254"/>
      <c r="Q23" s="254"/>
      <c r="R23" s="294">
        <f>O23*Цены!I78</f>
        <v>1285.4000000000001</v>
      </c>
      <c r="S23" s="280"/>
      <c r="T23" s="399" t="str">
        <f t="shared" si="16"/>
        <v>ручка-рейлинг</v>
      </c>
      <c r="U23" s="283">
        <f t="shared" si="17"/>
        <v>0</v>
      </c>
      <c r="V23" s="283">
        <f t="shared" si="18"/>
        <v>0</v>
      </c>
      <c r="W23" s="283">
        <f t="shared" si="19"/>
        <v>0</v>
      </c>
      <c r="X23" s="283">
        <f t="shared" si="20"/>
        <v>0</v>
      </c>
      <c r="Y23" s="283">
        <f t="shared" si="21"/>
        <v>0</v>
      </c>
      <c r="Z23" s="283">
        <f t="shared" si="22"/>
        <v>1</v>
      </c>
      <c r="AA23" s="283">
        <f t="shared" si="23"/>
        <v>0</v>
      </c>
      <c r="AB23" s="283">
        <f t="shared" si="24"/>
        <v>0</v>
      </c>
      <c r="AC23" s="283">
        <f t="shared" si="25"/>
        <v>0</v>
      </c>
      <c r="AD23" s="283">
        <f t="shared" si="26"/>
        <v>0</v>
      </c>
      <c r="AE23" s="283">
        <f t="shared" si="27"/>
        <v>0</v>
      </c>
      <c r="AF23" s="283">
        <f t="shared" si="28"/>
        <v>0</v>
      </c>
      <c r="AG23" s="364">
        <f>Z23*Z18+AF23*AF18</f>
        <v>2700</v>
      </c>
      <c r="AH23" s="401">
        <f>IF(OR($E$7=$BE$65,$E$7=BE81),(Z23*0.5+AF23)*Цены!$I$26,
IF(OR($E$7=BE76,$E$7=BE79,$E$7=BE82),(Z23*0.5+AF23)*Цены!$I$27,
(Z23*0.5+AF23)*Цены!$I$28))</f>
        <v>539.59</v>
      </c>
      <c r="AI23" s="5"/>
      <c r="AJ23" s="5"/>
      <c r="AK23" s="196"/>
      <c r="AL23" s="196"/>
      <c r="AM23" s="196"/>
      <c r="AN23" s="196"/>
      <c r="AO23" s="196"/>
      <c r="AP23" s="144">
        <f>IF(AND(AZ23&gt;0,AZ23&lt;=2700),1,0)</f>
        <v>1</v>
      </c>
      <c r="AQ23" s="196"/>
      <c r="AR23" s="196"/>
      <c r="AS23" s="196"/>
      <c r="AT23" s="196"/>
      <c r="AU23" s="196"/>
      <c r="AV23" s="144">
        <f>IF(AND(AZ23&gt;2700,AZ23&lt;=5400),BA23+1,BA23)</f>
        <v>0</v>
      </c>
      <c r="AW23" s="189"/>
      <c r="AX23" s="189"/>
      <c r="AY23" s="189"/>
      <c r="AZ23" s="189">
        <f t="shared" si="33"/>
        <v>1080</v>
      </c>
      <c r="BA23" s="189">
        <f t="shared" si="33"/>
        <v>0</v>
      </c>
      <c r="BB23" s="189"/>
      <c r="BC23" s="189"/>
      <c r="BI23" s="309">
        <f>IF(E23&lt;&gt;0,1,0)</f>
        <v>0</v>
      </c>
      <c r="BR23" s="1" t="s">
        <v>451</v>
      </c>
    </row>
    <row r="24" spans="2:70" ht="25.05" customHeight="1" thickBot="1" x14ac:dyDescent="0.35">
      <c r="B24" s="73" t="s">
        <v>120</v>
      </c>
      <c r="C24" s="15" t="s">
        <v>11</v>
      </c>
      <c r="D24" s="96">
        <v>0</v>
      </c>
      <c r="E24" s="17">
        <v>0</v>
      </c>
      <c r="F24" s="74">
        <f>IF(C24=$BE$10,$K$5-63,IF(C24=$BE$9,$K$5-62,$K$5-60))</f>
        <v>430</v>
      </c>
      <c r="G24" s="75">
        <f>IF(E24&lt;&gt;0,$E$9,0)</f>
        <v>0</v>
      </c>
      <c r="H24" s="76">
        <f t="shared" si="34"/>
        <v>0</v>
      </c>
      <c r="J24" s="519" t="s">
        <v>48</v>
      </c>
      <c r="K24" s="520"/>
      <c r="L24" s="520"/>
      <c r="M24" s="520"/>
      <c r="N24" s="242" t="s">
        <v>217</v>
      </c>
      <c r="O24" s="291">
        <f>E9</f>
        <v>2</v>
      </c>
      <c r="P24" s="277"/>
      <c r="Q24" s="277"/>
      <c r="R24" s="294">
        <f>O24*Цены!I82</f>
        <v>134.18</v>
      </c>
      <c r="S24" s="280"/>
      <c r="T24" s="400"/>
      <c r="U24" s="523" t="s">
        <v>109</v>
      </c>
      <c r="V24" s="523"/>
      <c r="W24" s="424"/>
      <c r="X24" s="424"/>
      <c r="Y24" s="424"/>
      <c r="Z24" s="424"/>
      <c r="AA24" s="424"/>
      <c r="AB24" s="424"/>
      <c r="AC24" s="424"/>
      <c r="AD24" s="424"/>
      <c r="AE24" s="424"/>
      <c r="AF24" s="424"/>
      <c r="AG24" s="425"/>
      <c r="AH24" s="137">
        <f>SUM(AH19:AH23)</f>
        <v>10637.98</v>
      </c>
      <c r="AI24" s="5"/>
      <c r="AJ24" s="5"/>
      <c r="AK24" s="5"/>
      <c r="AL24" s="5"/>
      <c r="AM24" s="5"/>
      <c r="AN24" s="5"/>
      <c r="AO24" s="5"/>
      <c r="AP24" s="5"/>
      <c r="AQ24" s="5"/>
      <c r="AR24" s="1"/>
      <c r="AS24" s="1"/>
      <c r="AT24" s="5"/>
      <c r="AU24" s="5"/>
      <c r="AV24" s="5"/>
      <c r="AW24" s="1"/>
      <c r="AX24" s="5"/>
      <c r="AY24" s="5"/>
      <c r="AZ24" s="5"/>
      <c r="BA24" s="5"/>
      <c r="BB24" s="5"/>
      <c r="BC24" s="5"/>
      <c r="BD24" s="1"/>
      <c r="BI24" s="309">
        <f>IF(E24&lt;&gt;0,1,0)</f>
        <v>0</v>
      </c>
      <c r="BR24" s="1" t="s">
        <v>452</v>
      </c>
    </row>
    <row r="25" spans="2:70" ht="25.05" customHeight="1" x14ac:dyDescent="0.3">
      <c r="B25" s="73" t="s">
        <v>121</v>
      </c>
      <c r="C25" s="15" t="s">
        <v>13</v>
      </c>
      <c r="D25" s="96">
        <v>0</v>
      </c>
      <c r="E25" s="17">
        <v>0</v>
      </c>
      <c r="F25" s="74">
        <f>IF(C25=$BE$10,$K$5-63,IF(C25=$BE$9,$K$5-62,$K$5-60))</f>
        <v>427</v>
      </c>
      <c r="G25" s="75">
        <f>IF(E25&lt;&gt;0,$E$9,0)</f>
        <v>0</v>
      </c>
      <c r="H25" s="76">
        <f t="shared" si="34"/>
        <v>0</v>
      </c>
      <c r="J25" s="417" t="s">
        <v>237</v>
      </c>
      <c r="K25" s="418"/>
      <c r="L25" s="418"/>
      <c r="M25" s="418"/>
      <c r="N25" s="240" t="s">
        <v>204</v>
      </c>
      <c r="O25" s="235">
        <f>M10*2+M11*2+M12*2</f>
        <v>8</v>
      </c>
      <c r="P25" s="254"/>
      <c r="Q25" s="254"/>
      <c r="R25" s="294">
        <f>O25*Цены!I163</f>
        <v>59.84</v>
      </c>
      <c r="S25" s="280"/>
      <c r="T25" s="280"/>
      <c r="U25" s="5"/>
      <c r="V25" s="5"/>
      <c r="W25" s="5"/>
      <c r="X25" s="79"/>
      <c r="Y25" s="79"/>
      <c r="Z25" s="79"/>
      <c r="AA25" s="79"/>
      <c r="AB25" s="79"/>
      <c r="AC25" s="79"/>
      <c r="AD25" s="5"/>
      <c r="AE25" s="5"/>
      <c r="AF25" s="5"/>
      <c r="AG25" s="5"/>
      <c r="AH25" s="284"/>
      <c r="AI25" s="5"/>
      <c r="AJ25" s="5"/>
      <c r="AK25" s="5"/>
      <c r="AL25" s="5"/>
      <c r="AM25" s="5"/>
      <c r="AN25" s="5"/>
      <c r="AO25" s="5"/>
      <c r="AP25" s="5"/>
      <c r="AQ25" s="5"/>
      <c r="AT25" s="5"/>
      <c r="AU25" s="5"/>
      <c r="AV25" s="5"/>
      <c r="AX25" s="5"/>
      <c r="AY25" s="5"/>
      <c r="AZ25" s="5"/>
      <c r="BA25" s="5"/>
      <c r="BB25" s="5"/>
      <c r="BC25" s="5"/>
      <c r="BE25" s="1" t="s">
        <v>86</v>
      </c>
      <c r="BI25" s="309">
        <f>IF(E25&lt;&gt;0,1,0)</f>
        <v>0</v>
      </c>
      <c r="BR25" s="1" t="s">
        <v>453</v>
      </c>
    </row>
    <row r="26" spans="2:70" ht="25.05" customHeight="1" thickBot="1" x14ac:dyDescent="0.35">
      <c r="B26" s="81" t="s">
        <v>122</v>
      </c>
      <c r="C26" s="15" t="s">
        <v>13</v>
      </c>
      <c r="D26" s="96">
        <v>0</v>
      </c>
      <c r="E26" s="17">
        <v>0</v>
      </c>
      <c r="F26" s="74">
        <f>IF(C26=$BE$10,$K$5-63,IF(C26=$BE$9,$K$5-62,$K$5-60))</f>
        <v>427</v>
      </c>
      <c r="G26" s="75">
        <f>IF(E26&lt;&gt;0,$E$9,0)</f>
        <v>0</v>
      </c>
      <c r="H26" s="134">
        <f t="shared" si="34"/>
        <v>0</v>
      </c>
      <c r="J26" s="519" t="s">
        <v>88</v>
      </c>
      <c r="K26" s="520"/>
      <c r="L26" s="520"/>
      <c r="M26" s="520"/>
      <c r="N26" s="240" t="s">
        <v>273</v>
      </c>
      <c r="O26" s="307">
        <f>ROUNDUP((IF(C22=BE9,(E22+F22)*2*G22,0)+IF(C23=BE9,(E23+F23)*2*G23,0)+IF(C24=BE9,(E24+F24)*2*G24,0)+IF(C25=BE9,(E25+F25)*2*G25,0)+IF(C26=BE9,(E26+F26)*2*G26,0))/1000,0)</f>
        <v>0</v>
      </c>
      <c r="P26" s="303"/>
      <c r="Q26" s="303"/>
      <c r="R26" s="294">
        <f>O26*Цены!I156</f>
        <v>0</v>
      </c>
      <c r="S26" s="280"/>
      <c r="T26" s="280"/>
      <c r="V26" s="338"/>
      <c r="W26" s="338"/>
      <c r="X26" s="338"/>
      <c r="Y26" s="338"/>
      <c r="Z26" s="338"/>
      <c r="AA26" s="338"/>
      <c r="AB26" s="338"/>
      <c r="AI26" s="5"/>
      <c r="AJ26" s="5"/>
      <c r="AK26" s="5"/>
      <c r="AL26" s="5"/>
      <c r="AM26" s="5"/>
      <c r="AN26" s="5"/>
      <c r="AO26" s="5"/>
      <c r="AP26" s="5"/>
      <c r="AQ26" s="5"/>
      <c r="AT26" s="5"/>
      <c r="AU26" s="5"/>
      <c r="AV26" s="5"/>
      <c r="AX26" s="5"/>
      <c r="AY26" s="5"/>
      <c r="AZ26" s="5"/>
      <c r="BA26" s="5"/>
      <c r="BB26" s="5"/>
      <c r="BC26" s="5"/>
      <c r="BE26" s="84" t="s">
        <v>165</v>
      </c>
      <c r="BI26" s="309">
        <f>IF(E26&lt;&gt;0,1,0)</f>
        <v>0</v>
      </c>
      <c r="BR26" s="1" t="s">
        <v>450</v>
      </c>
    </row>
    <row r="27" spans="2:70" ht="25.05" customHeight="1" thickBot="1" x14ac:dyDescent="0.35">
      <c r="B27" s="67"/>
      <c r="C27" s="68"/>
      <c r="D27" s="68"/>
      <c r="E27" s="432" t="s">
        <v>85</v>
      </c>
      <c r="F27" s="432"/>
      <c r="G27" s="432"/>
      <c r="H27" s="339">
        <f>SUM(H22:H26)</f>
        <v>0</v>
      </c>
      <c r="J27" s="419" t="s">
        <v>90</v>
      </c>
      <c r="K27" s="420"/>
      <c r="L27" s="420"/>
      <c r="M27" s="420"/>
      <c r="N27" s="240" t="s">
        <v>205</v>
      </c>
      <c r="O27" s="307">
        <f>ROUNDUP((IF(C22=BE10,(E22+F22)*2*G22,0)+IF(C23=BE10,(E23+F23)*2*G23,0)+IF(C24=BE10,(E24+F24)*2*G24,0)+IF(C25=BE10,(E25+F25)*2*G25,0)+IF(C26=BE10,(E26+F26)*2*G26,0))/1000,0)</f>
        <v>12</v>
      </c>
      <c r="P27" s="303"/>
      <c r="Q27" s="303"/>
      <c r="R27" s="294">
        <f>O27*Цены!I157</f>
        <v>419.88</v>
      </c>
      <c r="S27" s="280"/>
      <c r="T27" s="280"/>
      <c r="U27" s="5"/>
      <c r="V27" s="5"/>
      <c r="W27" s="5"/>
      <c r="X27" s="79"/>
      <c r="Y27" s="79"/>
      <c r="Z27" s="79"/>
      <c r="AA27" s="79"/>
      <c r="AB27" s="79"/>
      <c r="AC27" s="525" t="s">
        <v>108</v>
      </c>
      <c r="AD27" s="525"/>
      <c r="AE27" s="525"/>
      <c r="AF27" s="525"/>
      <c r="AG27" s="525"/>
      <c r="AH27" s="267">
        <f>IF(Z3=BR21,AH14+R36+H27,AH24+R36+H27)</f>
        <v>16355.243999999999</v>
      </c>
      <c r="AI27" s="5"/>
      <c r="AJ27" s="55" t="s">
        <v>282</v>
      </c>
      <c r="AK27" s="5"/>
      <c r="AL27" s="5"/>
      <c r="AM27" s="5"/>
      <c r="AN27" s="5"/>
      <c r="AO27" s="5"/>
      <c r="AP27" s="5"/>
      <c r="AQ27" s="5"/>
      <c r="AT27" s="5"/>
      <c r="AU27" s="5"/>
      <c r="AV27" s="5"/>
      <c r="AX27" s="5"/>
      <c r="AY27" s="5"/>
      <c r="AZ27" s="5"/>
      <c r="BA27" s="5"/>
      <c r="BB27" s="5"/>
      <c r="BC27" s="5"/>
      <c r="BE27" s="84" t="s">
        <v>135</v>
      </c>
    </row>
    <row r="28" spans="2:70" ht="25.05" customHeight="1" x14ac:dyDescent="0.3">
      <c r="B28" s="67"/>
      <c r="C28" s="505" t="str">
        <f>IF((SUM(BI22:BI26)/C18)&lt;&gt;1,BE21,BE22)</f>
        <v>Верно внесены высоты вставок</v>
      </c>
      <c r="D28" s="505"/>
      <c r="E28" s="358">
        <f>IF(C28=BE22,1,0)</f>
        <v>1</v>
      </c>
      <c r="F28" s="358"/>
      <c r="G28" s="358"/>
      <c r="H28" s="69"/>
      <c r="J28" s="519" t="s">
        <v>86</v>
      </c>
      <c r="K28" s="520"/>
      <c r="L28" s="520"/>
      <c r="M28" s="520"/>
      <c r="N28" s="240" t="s">
        <v>206</v>
      </c>
      <c r="O28" s="235">
        <f>IF(AND(E11=BE25,E8=BE59),O25,0)</f>
        <v>0</v>
      </c>
      <c r="P28" s="254"/>
      <c r="Q28" s="254"/>
      <c r="R28" s="294">
        <f>O28*Цены!I150</f>
        <v>0</v>
      </c>
      <c r="S28" s="280"/>
      <c r="T28" s="280"/>
      <c r="U28" s="5"/>
      <c r="V28" s="5"/>
      <c r="W28" s="5"/>
      <c r="X28" s="79"/>
      <c r="Y28" s="79"/>
      <c r="Z28" s="79"/>
      <c r="AA28" s="79"/>
      <c r="AB28" s="79"/>
      <c r="AC28" s="79"/>
      <c r="AD28" s="5"/>
      <c r="AE28" s="5"/>
      <c r="AF28" s="5"/>
      <c r="AG28" s="5"/>
      <c r="AH28" s="90"/>
      <c r="AI28" s="5"/>
      <c r="AJ28" s="149">
        <f>IF(C22=$BE$8,(F22*E22/1000000)*8,IF(C22=$BE$9,(F22*E22/1000000)*6.5,(F22*E22/1000000)*11))</f>
        <v>11.897501</v>
      </c>
      <c r="AK28" s="5"/>
      <c r="AL28" s="5"/>
      <c r="AM28" s="5"/>
      <c r="AN28" s="5"/>
      <c r="AO28" s="5"/>
      <c r="AP28" s="5"/>
      <c r="AQ28" s="5"/>
      <c r="AT28" s="5"/>
      <c r="AU28" s="5"/>
      <c r="AV28" s="5"/>
      <c r="AX28" s="5"/>
      <c r="AY28" s="5"/>
      <c r="AZ28" s="5"/>
      <c r="BA28" s="5"/>
      <c r="BB28" s="5"/>
      <c r="BC28" s="5"/>
      <c r="BE28" s="1" t="s">
        <v>82</v>
      </c>
    </row>
    <row r="29" spans="2:70" ht="25.05" customHeight="1" x14ac:dyDescent="0.3">
      <c r="B29" s="67"/>
      <c r="C29" s="68"/>
      <c r="D29" s="68"/>
      <c r="E29" s="68"/>
      <c r="F29" s="68"/>
      <c r="G29" s="68"/>
      <c r="H29" s="69"/>
      <c r="J29" s="417" t="s">
        <v>172</v>
      </c>
      <c r="K29" s="418"/>
      <c r="L29" s="418"/>
      <c r="M29" s="418"/>
      <c r="N29" s="241" t="s">
        <v>207</v>
      </c>
      <c r="O29" s="374">
        <f>IF(AND(E11=BE26,E8=BE59),O25,0)</f>
        <v>0</v>
      </c>
      <c r="P29" s="253"/>
      <c r="Q29" s="253"/>
      <c r="R29" s="266">
        <f>O29*Цены!I111</f>
        <v>0</v>
      </c>
      <c r="S29" s="247"/>
      <c r="T29" s="247"/>
      <c r="U29" s="5"/>
      <c r="V29" s="5"/>
      <c r="W29" s="5"/>
      <c r="X29" s="79"/>
      <c r="Y29" s="79"/>
      <c r="Z29" s="79"/>
      <c r="AA29" s="79"/>
      <c r="AB29" s="79"/>
      <c r="AC29" s="79"/>
      <c r="AD29" s="5"/>
      <c r="AE29" s="5"/>
      <c r="AF29" s="5"/>
      <c r="AG29" s="5"/>
      <c r="AH29" s="90"/>
      <c r="AI29" s="5"/>
      <c r="AJ29" s="149">
        <f>IF(C23=$BE$8,(F23*E23/1000000)*8,IF(C23=$BE$9,(F23*E23/1000000)*6.5,(F23*E23/1000000)*11))</f>
        <v>0</v>
      </c>
      <c r="AK29" s="5"/>
      <c r="AL29" s="5"/>
      <c r="AM29" s="5"/>
      <c r="AN29" s="5"/>
      <c r="AO29" s="5"/>
      <c r="AP29" s="5"/>
      <c r="AQ29" s="5"/>
      <c r="AT29" s="5"/>
      <c r="AU29" s="5"/>
      <c r="AV29" s="5"/>
      <c r="AX29" s="5"/>
      <c r="AY29" s="5"/>
      <c r="AZ29" s="5"/>
      <c r="BA29" s="5"/>
      <c r="BB29" s="5"/>
      <c r="BC29" s="5"/>
    </row>
    <row r="30" spans="2:70" ht="25.05" customHeight="1" x14ac:dyDescent="0.3">
      <c r="B30" s="67"/>
      <c r="C30" s="85"/>
      <c r="D30" s="85"/>
      <c r="E30" s="86"/>
      <c r="F30" s="86"/>
      <c r="G30" s="86"/>
      <c r="H30" s="69"/>
      <c r="J30" s="415" t="s">
        <v>82</v>
      </c>
      <c r="K30" s="416"/>
      <c r="L30" s="416"/>
      <c r="M30" s="416"/>
      <c r="N30" s="239" t="s">
        <v>208</v>
      </c>
      <c r="O30" s="238">
        <f>IF(E11=BE28,ROUNDUP(L9*M9/1000,0),0)</f>
        <v>0</v>
      </c>
      <c r="P30" s="257"/>
      <c r="Q30" s="257"/>
      <c r="R30" s="266">
        <f>O30*Цены!I140</f>
        <v>0</v>
      </c>
      <c r="S30" s="247"/>
      <c r="T30" s="247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284"/>
      <c r="AI30" s="5"/>
      <c r="AJ30" s="149">
        <f>IF(C24=$BE$8,(F24*E24/1000000)*8,IF(C24=$BE$9,(F24*E24/1000000)*6.5,(F24*E24/1000000)*11))</f>
        <v>0</v>
      </c>
      <c r="AK30" s="5"/>
      <c r="AL30" s="5"/>
      <c r="AM30" s="5"/>
      <c r="AN30" s="5"/>
      <c r="AO30" s="5"/>
      <c r="AP30" s="5"/>
      <c r="AQ30" s="5"/>
      <c r="AT30" s="5"/>
      <c r="AU30" s="5"/>
      <c r="AV30" s="5"/>
      <c r="AX30" s="5"/>
      <c r="AY30" s="5"/>
      <c r="AZ30" s="5"/>
      <c r="BA30" s="5"/>
      <c r="BB30" s="5"/>
      <c r="BC30" s="5"/>
      <c r="BE30" s="80" t="s">
        <v>123</v>
      </c>
    </row>
    <row r="31" spans="2:70" ht="25.05" customHeight="1" x14ac:dyDescent="0.3">
      <c r="B31" s="67"/>
      <c r="C31" s="68"/>
      <c r="D31" s="68"/>
      <c r="E31" s="68"/>
      <c r="F31" s="68"/>
      <c r="G31" s="5"/>
      <c r="H31" s="11"/>
      <c r="J31" s="415" t="s">
        <v>135</v>
      </c>
      <c r="K31" s="416"/>
      <c r="L31" s="416"/>
      <c r="M31" s="416"/>
      <c r="N31" s="239" t="s">
        <v>209</v>
      </c>
      <c r="O31" s="238">
        <f>IF(E11=BE27,ROUNDUP(L9*M9/1000,0),0)</f>
        <v>11</v>
      </c>
      <c r="P31" s="257"/>
      <c r="Q31" s="257"/>
      <c r="R31" s="266">
        <f>O31*Цены!I159</f>
        <v>208.45</v>
      </c>
      <c r="S31" s="247"/>
      <c r="T31" s="247"/>
      <c r="AI31" s="5"/>
      <c r="AJ31" s="149">
        <f>IF(C25=$BE$8,(F25*E25/1000000)*8,IF(C25=$BE$9,(F25*E25/1000000)*6.5,(F25*E25/1000000)*11))</f>
        <v>0</v>
      </c>
      <c r="AK31" s="5"/>
      <c r="AL31" s="5"/>
      <c r="AM31" s="5"/>
      <c r="AN31" s="5"/>
      <c r="AO31" s="5"/>
      <c r="AP31" s="5"/>
      <c r="AQ31" s="5"/>
      <c r="AT31" s="5"/>
      <c r="AU31" s="5"/>
      <c r="AV31" s="5"/>
      <c r="AX31" s="5"/>
      <c r="AY31" s="5"/>
      <c r="AZ31" s="5"/>
      <c r="BA31" s="5"/>
      <c r="BB31" s="5"/>
      <c r="BC31" s="5"/>
      <c r="BE31" s="80" t="s">
        <v>100</v>
      </c>
    </row>
    <row r="32" spans="2:70" ht="25.05" customHeight="1" thickBot="1" x14ac:dyDescent="0.35">
      <c r="B32" s="67"/>
      <c r="C32" s="506" t="str">
        <f>IF(AND(SUM(BI22:BI26)/C18=1,E26=0,C18&lt;&gt;1),BE42,BE43)</f>
        <v xml:space="preserve"> </v>
      </c>
      <c r="D32" s="506"/>
      <c r="E32" s="86"/>
      <c r="F32" s="86"/>
      <c r="G32" s="86"/>
      <c r="H32" s="11"/>
      <c r="J32" s="415" t="s">
        <v>167</v>
      </c>
      <c r="K32" s="416"/>
      <c r="L32" s="416"/>
      <c r="M32" s="416"/>
      <c r="N32" s="301" t="s">
        <v>210</v>
      </c>
      <c r="O32" s="236">
        <f>IF(O31&gt;0,M9*2,0)</f>
        <v>8</v>
      </c>
      <c r="P32" s="255"/>
      <c r="Q32" s="255"/>
      <c r="R32" s="266">
        <f>O32*Цены!I155</f>
        <v>103.36</v>
      </c>
      <c r="S32" s="247"/>
      <c r="T32" s="247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284"/>
      <c r="AI32" s="5"/>
      <c r="AJ32" s="149">
        <f>IF(C26=$BE$8,(F26*E26/1000000)*8,IF(C26=$BE$9,(F26*E26/1000000)*6.5,(F26*E26/1000000)*11))</f>
        <v>0</v>
      </c>
      <c r="AK32" s="5"/>
      <c r="AL32" s="5"/>
      <c r="AM32" s="5"/>
      <c r="AN32" s="5"/>
      <c r="AO32" s="5"/>
      <c r="AP32" s="5"/>
      <c r="AQ32" s="5"/>
      <c r="AT32" s="5"/>
      <c r="AU32" s="5"/>
      <c r="AV32" s="5"/>
      <c r="AX32" s="5"/>
      <c r="AY32" s="5"/>
      <c r="AZ32" s="5"/>
      <c r="BA32" s="5"/>
      <c r="BB32" s="5"/>
      <c r="BC32" s="5"/>
    </row>
    <row r="33" spans="2:57" ht="25.05" customHeight="1" thickBot="1" x14ac:dyDescent="0.35">
      <c r="B33" s="67"/>
      <c r="C33" s="68"/>
      <c r="D33" s="68"/>
      <c r="E33" s="68"/>
      <c r="F33" s="68"/>
      <c r="G33" s="68"/>
      <c r="H33" s="11"/>
      <c r="J33" s="415" t="s">
        <v>183</v>
      </c>
      <c r="K33" s="416"/>
      <c r="L33" s="416"/>
      <c r="M33" s="416"/>
      <c r="N33" s="240" t="s">
        <v>218</v>
      </c>
      <c r="O33" s="236">
        <f>IF(E14=BE46,E9,0)</f>
        <v>0</v>
      </c>
      <c r="P33" s="255"/>
      <c r="Q33" s="255"/>
      <c r="R33" s="266">
        <f>O33*Цены!I97</f>
        <v>0</v>
      </c>
      <c r="S33" s="247"/>
      <c r="T33" s="247"/>
      <c r="U33" s="79"/>
      <c r="V33" s="79"/>
      <c r="W33" s="79"/>
      <c r="X33" s="79"/>
      <c r="Y33" s="79"/>
      <c r="Z33" s="79"/>
      <c r="AA33" s="79"/>
      <c r="AB33" s="79"/>
      <c r="AC33" s="79"/>
      <c r="AD33" s="5"/>
      <c r="AE33" s="5"/>
      <c r="AF33" s="5"/>
      <c r="AG33" s="5"/>
      <c r="AH33" s="90"/>
      <c r="AI33" s="5"/>
      <c r="AJ33" s="297">
        <f>SUM(AJ28:AJ32)</f>
        <v>11.897501</v>
      </c>
      <c r="AK33" s="5"/>
      <c r="AL33" s="5"/>
      <c r="AM33" s="5"/>
      <c r="AN33" s="5"/>
      <c r="AO33" s="5"/>
      <c r="AP33" s="5"/>
      <c r="AQ33" s="5"/>
      <c r="AT33" s="5"/>
      <c r="AU33" s="5"/>
      <c r="AV33" s="5"/>
      <c r="AX33" s="5"/>
      <c r="AY33" s="5"/>
      <c r="AZ33" s="5"/>
      <c r="BA33" s="5"/>
      <c r="BB33" s="5"/>
      <c r="BC33" s="5"/>
      <c r="BE33" s="55" t="s">
        <v>77</v>
      </c>
    </row>
    <row r="34" spans="2:57" ht="25.05" customHeight="1" x14ac:dyDescent="0.3">
      <c r="B34" s="67"/>
      <c r="C34" s="68"/>
      <c r="D34" s="68"/>
      <c r="E34" s="68"/>
      <c r="F34" s="68"/>
      <c r="G34" s="68"/>
      <c r="H34" s="11"/>
      <c r="J34" s="415" t="s">
        <v>249</v>
      </c>
      <c r="K34" s="416"/>
      <c r="L34" s="416"/>
      <c r="M34" s="416"/>
      <c r="N34" s="240" t="s">
        <v>253</v>
      </c>
      <c r="O34" s="236">
        <f>IF(E8=BE60,E9,0)</f>
        <v>2</v>
      </c>
      <c r="P34" s="255"/>
      <c r="Q34" s="255"/>
      <c r="R34" s="266">
        <f>O34*Цены!I103</f>
        <v>3651.24</v>
      </c>
      <c r="S34" s="247"/>
      <c r="T34" s="247"/>
      <c r="U34" s="79"/>
      <c r="V34" s="79"/>
      <c r="W34" s="79"/>
      <c r="X34" s="79"/>
      <c r="Y34" s="79"/>
      <c r="Z34" s="79"/>
      <c r="AA34" s="79"/>
      <c r="AB34" s="79"/>
      <c r="AC34" s="79"/>
      <c r="AD34" s="5"/>
      <c r="AE34" s="5"/>
      <c r="AF34" s="5"/>
      <c r="AG34" s="5"/>
      <c r="AH34" s="90"/>
      <c r="AI34" s="5"/>
      <c r="AJ34" s="5"/>
      <c r="AK34" s="5"/>
      <c r="AL34" s="5"/>
      <c r="AM34" s="5"/>
      <c r="AN34" s="5"/>
      <c r="AO34" s="5"/>
      <c r="AP34" s="5"/>
      <c r="AQ34" s="5"/>
      <c r="AT34" s="5"/>
      <c r="AU34" s="5"/>
      <c r="AV34" s="5"/>
      <c r="AX34" s="5"/>
      <c r="AY34" s="5"/>
      <c r="AZ34" s="5"/>
      <c r="BA34" s="5"/>
      <c r="BB34" s="5"/>
      <c r="BC34" s="5"/>
      <c r="BE34" s="55" t="s">
        <v>174</v>
      </c>
    </row>
    <row r="35" spans="2:57" ht="25.05" customHeight="1" thickBot="1" x14ac:dyDescent="0.4">
      <c r="B35" s="87"/>
      <c r="C35" s="88"/>
      <c r="D35" s="358"/>
      <c r="E35" s="358"/>
      <c r="F35" s="358"/>
      <c r="G35" s="358"/>
      <c r="H35" s="11"/>
      <c r="J35" s="415" t="s">
        <v>168</v>
      </c>
      <c r="K35" s="416"/>
      <c r="L35" s="416"/>
      <c r="M35" s="416"/>
      <c r="N35" s="240" t="s">
        <v>219</v>
      </c>
      <c r="O35" s="236">
        <f>E12</f>
        <v>0</v>
      </c>
      <c r="P35" s="255"/>
      <c r="Q35" s="255"/>
      <c r="R35" s="308">
        <f>O35*Цены!I126</f>
        <v>0</v>
      </c>
      <c r="S35" s="247"/>
      <c r="T35" s="247"/>
      <c r="U35" s="79"/>
      <c r="V35" s="79"/>
      <c r="W35" s="79"/>
      <c r="X35" s="79"/>
      <c r="Y35" s="79"/>
      <c r="Z35" s="79"/>
      <c r="AA35" s="79"/>
      <c r="AB35" s="79"/>
      <c r="AC35" s="79"/>
      <c r="AD35" s="5"/>
      <c r="AE35" s="5"/>
      <c r="AF35" s="5"/>
      <c r="AG35" s="5"/>
      <c r="AH35" s="90"/>
      <c r="AI35" s="5"/>
      <c r="AJ35" s="5"/>
      <c r="AK35" s="5"/>
      <c r="AL35" s="5"/>
      <c r="AM35" s="5"/>
      <c r="AN35" s="5"/>
      <c r="AO35" s="5"/>
      <c r="AP35" s="5"/>
      <c r="AQ35" s="5"/>
      <c r="AT35" s="5"/>
      <c r="AU35" s="5"/>
      <c r="AV35" s="5"/>
      <c r="AX35" s="5"/>
      <c r="AY35" s="5"/>
      <c r="AZ35" s="5"/>
      <c r="BA35" s="5"/>
      <c r="BB35" s="5"/>
      <c r="BC35" s="5"/>
      <c r="BE35" s="55" t="s">
        <v>175</v>
      </c>
    </row>
    <row r="36" spans="2:57" ht="25.05" customHeight="1" thickBot="1" x14ac:dyDescent="0.35">
      <c r="B36" s="12"/>
      <c r="C36" s="6"/>
      <c r="D36" s="6"/>
      <c r="E36" s="6"/>
      <c r="F36" s="6"/>
      <c r="G36" s="6"/>
      <c r="H36" s="13"/>
      <c r="J36" s="111"/>
      <c r="K36" s="102"/>
      <c r="L36" s="101"/>
      <c r="M36" s="101"/>
      <c r="N36" s="101"/>
      <c r="O36" s="11"/>
      <c r="R36" s="290">
        <f>SUM(R19:R35)</f>
        <v>5982.15</v>
      </c>
      <c r="S36" s="261"/>
      <c r="T36" s="261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90"/>
      <c r="AI36" s="5"/>
      <c r="AJ36" s="5"/>
      <c r="AK36" s="5"/>
      <c r="AL36" s="5"/>
      <c r="AM36" s="5"/>
      <c r="AN36" s="5"/>
      <c r="AO36" s="5"/>
      <c r="AP36" s="5"/>
      <c r="AQ36" s="5"/>
      <c r="AT36" s="5"/>
      <c r="AU36" s="5"/>
      <c r="AV36" s="5"/>
      <c r="AX36" s="5"/>
      <c r="AY36" s="5"/>
      <c r="AZ36" s="5"/>
      <c r="BA36" s="5"/>
      <c r="BB36" s="5"/>
      <c r="BC36" s="5"/>
    </row>
    <row r="37" spans="2:57" ht="25.05" customHeight="1" thickBot="1" x14ac:dyDescent="0.4">
      <c r="B37" s="87"/>
      <c r="C37" s="88"/>
      <c r="D37" s="358"/>
      <c r="E37" s="358"/>
      <c r="F37" s="358"/>
      <c r="G37" s="349" t="s">
        <v>279</v>
      </c>
      <c r="H37" s="151">
        <f>ROUNDUP((AJ16+AJ33)*1.1,0)</f>
        <v>18</v>
      </c>
      <c r="J37" s="111"/>
      <c r="K37" s="5"/>
      <c r="L37" s="5"/>
      <c r="M37" s="5"/>
      <c r="N37" s="5"/>
      <c r="O37" s="11"/>
      <c r="Q37" s="491" t="s">
        <v>456</v>
      </c>
      <c r="R37" s="90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90"/>
      <c r="AI37" s="5"/>
      <c r="AJ37" s="5"/>
      <c r="AK37" s="5"/>
      <c r="AL37" s="5"/>
      <c r="AM37" s="5"/>
      <c r="AN37" s="5"/>
      <c r="AO37" s="5"/>
      <c r="AP37" s="5"/>
      <c r="AQ37" s="5"/>
      <c r="AT37" s="5"/>
      <c r="AU37" s="5"/>
      <c r="AV37" s="5"/>
      <c r="AX37" s="5"/>
      <c r="AY37" s="5"/>
      <c r="AZ37" s="5"/>
      <c r="BA37" s="5"/>
      <c r="BB37" s="5"/>
      <c r="BC37" s="5"/>
    </row>
    <row r="38" spans="2:57" ht="25.05" customHeight="1" thickBot="1" x14ac:dyDescent="0.4">
      <c r="B38" s="92"/>
      <c r="C38" s="93"/>
      <c r="D38" s="94"/>
      <c r="E38" s="94"/>
      <c r="F38" s="94"/>
      <c r="G38" s="94"/>
      <c r="H38" s="95"/>
      <c r="J38" s="114"/>
      <c r="K38" s="282"/>
      <c r="L38" s="282"/>
      <c r="M38" s="282"/>
      <c r="N38" s="282"/>
      <c r="O38" s="141"/>
      <c r="Q38" s="491"/>
      <c r="R38" s="289">
        <f>R14+R36+H27</f>
        <v>18484.150000000001</v>
      </c>
      <c r="S38" s="279"/>
      <c r="T38" s="279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90"/>
      <c r="AI38" s="5"/>
      <c r="AJ38" s="5"/>
      <c r="AK38" s="5"/>
      <c r="AL38" s="5"/>
      <c r="AM38" s="5"/>
      <c r="AN38" s="5"/>
      <c r="AO38" s="5"/>
      <c r="AP38" s="5"/>
      <c r="AQ38" s="5"/>
      <c r="AT38" s="5"/>
      <c r="AU38" s="5"/>
      <c r="AV38" s="5"/>
      <c r="AX38" s="5"/>
      <c r="AY38" s="5"/>
      <c r="AZ38" s="5"/>
      <c r="BA38" s="5"/>
      <c r="BB38" s="5"/>
      <c r="BC38" s="5"/>
    </row>
    <row r="42" spans="2:57" ht="18" x14ac:dyDescent="0.35">
      <c r="BE42" s="91" t="s">
        <v>132</v>
      </c>
    </row>
    <row r="43" spans="2:57" x14ac:dyDescent="0.3">
      <c r="BE43" s="1" t="s">
        <v>100</v>
      </c>
    </row>
    <row r="46" spans="2:57" x14ac:dyDescent="0.3">
      <c r="BE46" s="55" t="s">
        <v>104</v>
      </c>
    </row>
    <row r="47" spans="2:57" x14ac:dyDescent="0.3">
      <c r="BE47" s="55" t="s">
        <v>105</v>
      </c>
    </row>
    <row r="51" spans="44:57" s="55" customFormat="1" x14ac:dyDescent="0.3">
      <c r="BE51" s="55" t="s">
        <v>186</v>
      </c>
    </row>
    <row r="52" spans="44:57" s="55" customFormat="1" x14ac:dyDescent="0.3">
      <c r="BE52" s="55" t="s">
        <v>181</v>
      </c>
    </row>
    <row r="53" spans="44:57" s="55" customFormat="1" x14ac:dyDescent="0.3">
      <c r="AR53" s="39"/>
      <c r="AS53" s="39"/>
      <c r="AW53" s="39"/>
      <c r="BD53" s="39"/>
    </row>
    <row r="54" spans="44:57" s="55" customFormat="1" x14ac:dyDescent="0.3">
      <c r="AR54" s="39"/>
      <c r="AS54" s="39"/>
      <c r="AW54" s="39"/>
      <c r="BD54" s="39"/>
    </row>
    <row r="55" spans="44:57" s="55" customFormat="1" x14ac:dyDescent="0.3">
      <c r="AR55" s="39"/>
      <c r="AS55" s="39"/>
      <c r="AW55" s="39"/>
      <c r="BD55" s="39"/>
      <c r="BE55" s="1" t="s">
        <v>184</v>
      </c>
    </row>
    <row r="56" spans="44:57" s="55" customFormat="1" x14ac:dyDescent="0.3">
      <c r="BE56" s="55" t="s">
        <v>181</v>
      </c>
    </row>
    <row r="59" spans="44:57" s="55" customFormat="1" x14ac:dyDescent="0.3">
      <c r="BE59" s="55" t="s">
        <v>250</v>
      </c>
    </row>
    <row r="60" spans="44:57" s="55" customFormat="1" x14ac:dyDescent="0.3">
      <c r="BE60" s="55" t="s">
        <v>251</v>
      </c>
    </row>
    <row r="65" spans="57:57" s="55" customFormat="1" x14ac:dyDescent="0.3">
      <c r="BE65" s="39" t="str">
        <f>Подвесная!BE50</f>
        <v>Серебро матовое</v>
      </c>
    </row>
    <row r="66" spans="57:57" s="55" customFormat="1" x14ac:dyDescent="0.3">
      <c r="BE66" s="39" t="str">
        <f>Подвесная!BE51</f>
        <v>Черный матовый</v>
      </c>
    </row>
    <row r="67" spans="57:57" s="55" customFormat="1" x14ac:dyDescent="0.3">
      <c r="BE67" s="39" t="str">
        <f>Подвесная!BE52</f>
        <v>Слоновая кость</v>
      </c>
    </row>
    <row r="68" spans="57:57" s="55" customFormat="1" x14ac:dyDescent="0.3">
      <c r="BE68" s="39" t="str">
        <f>Подвесная!BE53</f>
        <v>Белый матовый</v>
      </c>
    </row>
    <row r="69" spans="57:57" s="55" customFormat="1" x14ac:dyDescent="0.3">
      <c r="BE69" s="39" t="str">
        <f>Подвесная!BE54</f>
        <v xml:space="preserve">Венге темный </v>
      </c>
    </row>
    <row r="70" spans="57:57" s="55" customFormat="1" x14ac:dyDescent="0.3">
      <c r="BE70" s="39" t="str">
        <f>Подвесная!BE55</f>
        <v>Дуб белый</v>
      </c>
    </row>
    <row r="71" spans="57:57" s="55" customFormat="1" x14ac:dyDescent="0.3">
      <c r="BE71" s="39" t="str">
        <f>Подвесная!BE56</f>
        <v xml:space="preserve"> медь античная*</v>
      </c>
    </row>
    <row r="72" spans="57:57" s="55" customFormat="1" x14ac:dyDescent="0.3">
      <c r="BE72" s="39" t="str">
        <f>Подвесная!BE57</f>
        <v>сталь воронёная*</v>
      </c>
    </row>
  </sheetData>
  <sheetProtection algorithmName="SHA-512" hashValue="/RecNFW5ok0Giod3aIlx9HGbglbudd449+Ngscq1G5G2Z+DyrH4VCYhNrrYPa9XBaURYidj1hr+OYvOMkwTrtg==" saltValue="JQ4VIe7mrBvEkkXNooaugQ==" spinCount="100000" sheet="1" selectLockedCells="1"/>
  <mergeCells count="59">
    <mergeCell ref="U24:AG24"/>
    <mergeCell ref="AC27:AG27"/>
    <mergeCell ref="N3:O3"/>
    <mergeCell ref="C32:D32"/>
    <mergeCell ref="C28:D28"/>
    <mergeCell ref="E27:G27"/>
    <mergeCell ref="J18:M18"/>
    <mergeCell ref="B4:D4"/>
    <mergeCell ref="E10:H10"/>
    <mergeCell ref="E11:H11"/>
    <mergeCell ref="E12:H12"/>
    <mergeCell ref="E13:H13"/>
    <mergeCell ref="B3:D3"/>
    <mergeCell ref="B5:D5"/>
    <mergeCell ref="J24:M24"/>
    <mergeCell ref="J22:M22"/>
    <mergeCell ref="U14:AG14"/>
    <mergeCell ref="J17:L17"/>
    <mergeCell ref="J3:K3"/>
    <mergeCell ref="J7:M7"/>
    <mergeCell ref="U7:AH7"/>
    <mergeCell ref="U17:AH17"/>
    <mergeCell ref="J23:M23"/>
    <mergeCell ref="E9:H9"/>
    <mergeCell ref="J34:M34"/>
    <mergeCell ref="J25:M25"/>
    <mergeCell ref="J26:M26"/>
    <mergeCell ref="J27:M27"/>
    <mergeCell ref="J28:M28"/>
    <mergeCell ref="J29:M29"/>
    <mergeCell ref="J30:M30"/>
    <mergeCell ref="J31:M31"/>
    <mergeCell ref="J32:M32"/>
    <mergeCell ref="J33:M33"/>
    <mergeCell ref="E14:H14"/>
    <mergeCell ref="J19:M19"/>
    <mergeCell ref="J20:M20"/>
    <mergeCell ref="J21:M21"/>
    <mergeCell ref="E3:H3"/>
    <mergeCell ref="E5:H5"/>
    <mergeCell ref="E6:H6"/>
    <mergeCell ref="E7:H7"/>
    <mergeCell ref="E8:H8"/>
    <mergeCell ref="J1:O1"/>
    <mergeCell ref="Q37:Q38"/>
    <mergeCell ref="U3:Y3"/>
    <mergeCell ref="Z3:AA3"/>
    <mergeCell ref="B11:D11"/>
    <mergeCell ref="B12:D12"/>
    <mergeCell ref="B13:D13"/>
    <mergeCell ref="B14:D14"/>
    <mergeCell ref="B1:H1"/>
    <mergeCell ref="B6:D6"/>
    <mergeCell ref="B7:D7"/>
    <mergeCell ref="B8:D8"/>
    <mergeCell ref="B9:D9"/>
    <mergeCell ref="B10:D10"/>
    <mergeCell ref="J35:M35"/>
    <mergeCell ref="E4:H4"/>
  </mergeCells>
  <conditionalFormatting sqref="U10:AF13">
    <cfRule type="cellIs" dxfId="58" priority="60" operator="equal">
      <formula>0</formula>
    </cfRule>
  </conditionalFormatting>
  <conditionalFormatting sqref="E12">
    <cfRule type="cellIs" dxfId="57" priority="50" operator="greaterThan">
      <formula>0</formula>
    </cfRule>
  </conditionalFormatting>
  <conditionalFormatting sqref="E13">
    <cfRule type="cellIs" dxfId="56" priority="43" operator="greaterThan">
      <formula>0</formula>
    </cfRule>
  </conditionalFormatting>
  <conditionalFormatting sqref="E14">
    <cfRule type="cellIs" dxfId="55" priority="34" operator="greaterThan">
      <formula>0</formula>
    </cfRule>
  </conditionalFormatting>
  <conditionalFormatting sqref="K4">
    <cfRule type="expression" dxfId="54" priority="37">
      <formula>$K$4&gt;3200</formula>
    </cfRule>
  </conditionalFormatting>
  <conditionalFormatting sqref="E6">
    <cfRule type="cellIs" dxfId="53" priority="19" operator="greaterThan">
      <formula>0</formula>
    </cfRule>
  </conditionalFormatting>
  <conditionalFormatting sqref="R29:T32 O30:Q32 O33:T35">
    <cfRule type="expression" dxfId="52" priority="556">
      <formula>#REF!=0</formula>
    </cfRule>
  </conditionalFormatting>
  <conditionalFormatting sqref="AH27 R38:T38">
    <cfRule type="expression" dxfId="51" priority="704">
      <formula>$E$4=0</formula>
    </cfRule>
  </conditionalFormatting>
  <conditionalFormatting sqref="R17:T17 O13:S13 AH13:AH14 H27 F22:H26 O19:Q35 O9:AH9 R14:T14 L9:N13 AH10:AH11 E22 K4:K5 P10:S12 T10:AG13 R19:T36">
    <cfRule type="expression" dxfId="50" priority="707">
      <formula>$E$4=0</formula>
    </cfRule>
  </conditionalFormatting>
  <conditionalFormatting sqref="C28">
    <cfRule type="expression" dxfId="49" priority="732">
      <formula>$C$28=$BE$22</formula>
    </cfRule>
  </conditionalFormatting>
  <conditionalFormatting sqref="C28:D28">
    <cfRule type="expression" dxfId="48" priority="733">
      <formula>$C$28=$BE$21</formula>
    </cfRule>
  </conditionalFormatting>
  <conditionalFormatting sqref="C32">
    <cfRule type="expression" dxfId="47" priority="734">
      <formula>$C$32=$BE$42</formula>
    </cfRule>
  </conditionalFormatting>
  <conditionalFormatting sqref="H37">
    <cfRule type="expression" dxfId="46" priority="735">
      <formula>AND($E$8=$BE$59,$H$37&gt;30)</formula>
    </cfRule>
    <cfRule type="expression" dxfId="45" priority="736">
      <formula>AND($E$8=$BE$60,$H$37&gt;40)</formula>
    </cfRule>
  </conditionalFormatting>
  <conditionalFormatting sqref="K5">
    <cfRule type="expression" dxfId="44" priority="737">
      <formula>AND(OR($K$5&lt;200,$K$5&gt;900),$E$4&gt;0,$E$8=$BE$60)</formula>
    </cfRule>
    <cfRule type="expression" dxfId="43" priority="738">
      <formula>$E$9=0</formula>
    </cfRule>
    <cfRule type="expression" dxfId="42" priority="739">
      <formula>AND(OR($K$5&lt;200,$K$5&gt;700),$E$4&gt;0,$E$8=$BE$59)</formula>
    </cfRule>
  </conditionalFormatting>
  <conditionalFormatting sqref="E11">
    <cfRule type="expression" dxfId="41" priority="740">
      <formula>AND($E$8=$BE$60,OR($E$11=$BE$25,$E$11=$BE$26))</formula>
    </cfRule>
    <cfRule type="cellIs" dxfId="40" priority="741" operator="greaterThan">
      <formula>0</formula>
    </cfRule>
  </conditionalFormatting>
  <conditionalFormatting sqref="O12">
    <cfRule type="expression" dxfId="39" priority="12">
      <formula>$E$4=0</formula>
    </cfRule>
  </conditionalFormatting>
  <conditionalFormatting sqref="O10:O11">
    <cfRule type="expression" dxfId="38" priority="11">
      <formula>$E$4=0</formula>
    </cfRule>
  </conditionalFormatting>
  <conditionalFormatting sqref="U19:AF23">
    <cfRule type="cellIs" dxfId="37" priority="9" operator="equal">
      <formula>0</formula>
    </cfRule>
  </conditionalFormatting>
  <conditionalFormatting sqref="AH23:AH24 AH20:AH21 U19:AH19 U20:AG23">
    <cfRule type="expression" dxfId="36" priority="10">
      <formula>$E$4=0</formula>
    </cfRule>
  </conditionalFormatting>
  <conditionalFormatting sqref="R1:AH6 R8:AH38 S7:AH7">
    <cfRule type="expression" dxfId="35" priority="8">
      <formula>$N$3=$BN$9</formula>
    </cfRule>
  </conditionalFormatting>
  <conditionalFormatting sqref="T3">
    <cfRule type="expression" dxfId="34" priority="7">
      <formula>$N$3=$BN$9</formula>
    </cfRule>
  </conditionalFormatting>
  <conditionalFormatting sqref="T1:AH38">
    <cfRule type="expression" dxfId="33" priority="6">
      <formula>$N$3=$BN$10</formula>
    </cfRule>
  </conditionalFormatting>
  <conditionalFormatting sqref="R7">
    <cfRule type="expression" dxfId="32" priority="5">
      <formula>$N$3=$BN$9</formula>
    </cfRule>
  </conditionalFormatting>
  <conditionalFormatting sqref="R7">
    <cfRule type="expression" dxfId="31" priority="4">
      <formula>$N$3=$BN$9</formula>
    </cfRule>
  </conditionalFormatting>
  <conditionalFormatting sqref="R7:R14 R38">
    <cfRule type="expression" dxfId="30" priority="3">
      <formula>$N$3=$BN$11</formula>
    </cfRule>
  </conditionalFormatting>
  <conditionalFormatting sqref="T17:AH24">
    <cfRule type="expression" dxfId="29" priority="2">
      <formula>$Z$3=$BR$21</formula>
    </cfRule>
  </conditionalFormatting>
  <conditionalFormatting sqref="T7:AH14">
    <cfRule type="expression" dxfId="28" priority="1">
      <formula>$Z$3&lt;&gt;$BR$21</formula>
    </cfRule>
  </conditionalFormatting>
  <dataValidations count="13">
    <dataValidation type="list" allowBlank="1" showInputMessage="1" showErrorMessage="1" sqref="E9">
      <formula1>$BE$4:$BE$5</formula1>
    </dataValidation>
    <dataValidation type="list" allowBlank="1" showInputMessage="1" showErrorMessage="1" sqref="E10">
      <formula1>$BE$33:$BE$35</formula1>
    </dataValidation>
    <dataValidation type="list" allowBlank="1" showInputMessage="1" showErrorMessage="1" sqref="E5">
      <formula1>$BE$15:$BE$19</formula1>
    </dataValidation>
    <dataValidation type="whole" allowBlank="1" showInputMessage="1" showErrorMessage="1" sqref="E12">
      <formula1>0</formula1>
      <formula2>20</formula2>
    </dataValidation>
    <dataValidation type="list" allowBlank="1" showInputMessage="1" showErrorMessage="1" sqref="C22:C26">
      <formula1>$BE$8:$BE$10</formula1>
    </dataValidation>
    <dataValidation type="list" allowBlank="1" showInputMessage="1" showErrorMessage="1" sqref="E14">
      <formula1>$BE$46:$BE$47</formula1>
    </dataValidation>
    <dataValidation type="list" allowBlank="1" showInputMessage="1" showErrorMessage="1" sqref="E8">
      <formula1>$BE$59:$BE$60</formula1>
    </dataValidation>
    <dataValidation type="list" allowBlank="1" showInputMessage="1" showErrorMessage="1" sqref="E7">
      <formula1>$BE$65:$BE$72</formula1>
    </dataValidation>
    <dataValidation type="list" allowBlank="1" showInputMessage="1" showErrorMessage="1" sqref="E6">
      <formula1>$BH$4:$BH$5</formula1>
    </dataValidation>
    <dataValidation type="whole" allowBlank="1" showInputMessage="1" showErrorMessage="1" sqref="E13">
      <formula1>150</formula1>
      <formula2>K4</formula2>
    </dataValidation>
    <dataValidation type="list" allowBlank="1" showInputMessage="1" showErrorMessage="1" sqref="E11">
      <formula1>$BE$25:$BE$28</formula1>
    </dataValidation>
    <dataValidation type="list" allowBlank="1" showInputMessage="1" showErrorMessage="1" sqref="Z3:AA3">
      <formula1>$BR$21:$BR$26</formula1>
    </dataValidation>
    <dataValidation type="list" allowBlank="1" showInputMessage="1" showErrorMessage="1" sqref="N3:O3">
      <formula1>$BN$9:$BN$11</formula1>
    </dataValidation>
  </dataValidations>
  <printOptions horizontalCentered="1" verticalCentered="1"/>
  <pageMargins left="0.11811023622047245" right="0.11811023622047245" top="0.74803149606299213" bottom="0.74803149606299213" header="0.31496062992125984" footer="0.31496062992125984"/>
  <pageSetup paperSize="9" scale="40" orientation="landscape" verticalDpi="1200" r:id="rId1"/>
  <ignoredErrors>
    <ignoredError sqref="R14" evalError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6" id="{3A7EAEEA-726E-4DA4-B12F-F689FFE67DAE}">
            <x14:iconSet iconSet="3Symbols2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E28:G28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theme="1"/>
    <pageSetUpPr fitToPage="1"/>
  </sheetPr>
  <dimension ref="B1:BR58"/>
  <sheetViews>
    <sheetView zoomScale="70" zoomScaleNormal="70" workbookViewId="0">
      <selection activeCell="E3" sqref="E3:H3"/>
    </sheetView>
  </sheetViews>
  <sheetFormatPr defaultColWidth="8.88671875" defaultRowHeight="14.4" x14ac:dyDescent="0.3"/>
  <cols>
    <col min="1" max="1" width="1.77734375" style="55" customWidth="1"/>
    <col min="2" max="3" width="45.77734375" style="55" customWidth="1"/>
    <col min="4" max="8" width="14.77734375" style="55" customWidth="1"/>
    <col min="9" max="9" width="1.77734375" style="55" customWidth="1"/>
    <col min="10" max="10" width="35.77734375" style="55" customWidth="1"/>
    <col min="11" max="15" width="14.77734375" style="55" customWidth="1"/>
    <col min="16" max="16" width="1.77734375" style="5" customWidth="1"/>
    <col min="17" max="17" width="14.77734375" style="5" hidden="1" customWidth="1"/>
    <col min="18" max="18" width="14.77734375" style="365" customWidth="1"/>
    <col min="19" max="19" width="1.77734375" style="5" customWidth="1"/>
    <col min="20" max="20" width="24.77734375" style="5" customWidth="1"/>
    <col min="21" max="32" width="11.77734375" style="55" customWidth="1"/>
    <col min="33" max="33" width="14.77734375" style="55" customWidth="1"/>
    <col min="34" max="34" width="14.77734375" style="365" customWidth="1"/>
    <col min="35" max="35" width="9.5546875" style="55" hidden="1" customWidth="1"/>
    <col min="36" max="36" width="16.21875" style="55" hidden="1" customWidth="1"/>
    <col min="37" max="38" width="12.21875" style="55" hidden="1" customWidth="1"/>
    <col min="39" max="39" width="14.77734375" style="55" hidden="1" customWidth="1"/>
    <col min="40" max="40" width="14" style="55" hidden="1" customWidth="1"/>
    <col min="41" max="41" width="11.77734375" style="55" hidden="1" customWidth="1"/>
    <col min="42" max="43" width="12.21875" style="55" hidden="1" customWidth="1"/>
    <col min="44" max="45" width="11.33203125" style="55" hidden="1" customWidth="1"/>
    <col min="46" max="46" width="11.109375" style="55" hidden="1" customWidth="1"/>
    <col min="47" max="47" width="11.6640625" style="55" hidden="1" customWidth="1"/>
    <col min="48" max="48" width="10.33203125" style="55" hidden="1" customWidth="1"/>
    <col min="49" max="54" width="9.5546875" style="55" hidden="1" customWidth="1"/>
    <col min="55" max="55" width="13.88671875" style="55" hidden="1" customWidth="1"/>
    <col min="56" max="56" width="9.5546875" style="55" hidden="1" customWidth="1"/>
    <col min="57" max="57" width="27.33203125" style="55" hidden="1" customWidth="1"/>
    <col min="58" max="59" width="8.88671875" style="55" hidden="1" customWidth="1"/>
    <col min="60" max="60" width="25.5546875" style="55" hidden="1" customWidth="1"/>
    <col min="61" max="61" width="14.33203125" style="55" hidden="1" customWidth="1"/>
    <col min="62" max="63" width="8.88671875" style="55" hidden="1" customWidth="1"/>
    <col min="64" max="71" width="0" style="55" hidden="1" customWidth="1"/>
    <col min="72" max="16384" width="8.88671875" style="55"/>
  </cols>
  <sheetData>
    <row r="1" spans="2:66" ht="25.05" customHeight="1" x14ac:dyDescent="0.3">
      <c r="B1" s="449" t="s">
        <v>110</v>
      </c>
      <c r="C1" s="449"/>
      <c r="D1" s="449"/>
      <c r="E1" s="449"/>
      <c r="F1" s="449"/>
      <c r="G1" s="449"/>
      <c r="H1" s="449"/>
      <c r="I1" s="152"/>
      <c r="J1" s="449" t="s">
        <v>111</v>
      </c>
      <c r="K1" s="449"/>
      <c r="L1" s="449"/>
      <c r="M1" s="449"/>
      <c r="N1" s="449"/>
      <c r="O1" s="449"/>
    </row>
    <row r="2" spans="2:66" ht="25.05" customHeight="1" thickBot="1" x14ac:dyDescent="0.35"/>
    <row r="3" spans="2:66" ht="25.05" customHeight="1" x14ac:dyDescent="0.3">
      <c r="B3" s="452" t="s">
        <v>127</v>
      </c>
      <c r="C3" s="453"/>
      <c r="D3" s="453"/>
      <c r="E3" s="493">
        <v>2600</v>
      </c>
      <c r="F3" s="459"/>
      <c r="G3" s="459"/>
      <c r="H3" s="460"/>
      <c r="J3" s="470" t="s">
        <v>281</v>
      </c>
      <c r="K3" s="472"/>
      <c r="N3" s="475" t="s">
        <v>489</v>
      </c>
      <c r="O3" s="476"/>
      <c r="R3" s="3"/>
      <c r="S3" s="3"/>
      <c r="T3" s="3"/>
      <c r="U3" s="414" t="s">
        <v>448</v>
      </c>
      <c r="V3" s="414"/>
      <c r="W3" s="414"/>
      <c r="X3" s="414"/>
      <c r="Y3" s="414"/>
      <c r="Z3" s="413" t="s">
        <v>449</v>
      </c>
      <c r="AA3" s="413"/>
      <c r="AB3" s="408"/>
      <c r="AC3" s="408"/>
      <c r="AP3" s="245" t="s">
        <v>449</v>
      </c>
    </row>
    <row r="4" spans="2:66" ht="25.05" customHeight="1" x14ac:dyDescent="0.3">
      <c r="B4" s="454" t="s">
        <v>126</v>
      </c>
      <c r="C4" s="455"/>
      <c r="D4" s="455"/>
      <c r="E4" s="492">
        <v>2500</v>
      </c>
      <c r="F4" s="461"/>
      <c r="G4" s="461"/>
      <c r="H4" s="462"/>
      <c r="J4" s="109" t="s">
        <v>14</v>
      </c>
      <c r="K4" s="314">
        <f>IF(OR(E8=BE15,E8=BE16,E8=BE17),E3-45,E3-85)</f>
        <v>2515</v>
      </c>
      <c r="L4" s="5"/>
      <c r="M4" s="5"/>
      <c r="N4" s="5"/>
      <c r="O4" s="5"/>
      <c r="R4" s="90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90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</row>
    <row r="5" spans="2:66" ht="25.05" customHeight="1" thickBot="1" x14ac:dyDescent="0.35">
      <c r="B5" s="454" t="s">
        <v>475</v>
      </c>
      <c r="C5" s="455"/>
      <c r="D5" s="455"/>
      <c r="E5" s="494">
        <v>0</v>
      </c>
      <c r="F5" s="443"/>
      <c r="G5" s="443"/>
      <c r="H5" s="444"/>
      <c r="J5" s="306" t="s">
        <v>15</v>
      </c>
      <c r="K5" s="315">
        <f>ROUNDDOWN(IF(AND(E8=BE17,OR(E10=BE24,E10=BE25)),(E4+39+39)/4,
IF(AND(E8=BE17,OR(E10=BE26,E10=BE27)),(E4-10+39+39)/4,
IF(AND(OR(E8=BE15,E8=BE16,E8=BE18),E10=BE24),E4/E9,
IF(AND(OR(E8=BE15,E8=BE16,E8=BE18),E10=BE25),(E4-2)/E9,
IF(AND(OR(E8=BE15,E8=BE16,E8=BE18),OR(E10=BE26,E10=BE27)),(E4-10)/E9))))),0)</f>
        <v>415</v>
      </c>
      <c r="L5" s="5"/>
      <c r="R5" s="90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90"/>
      <c r="AI5" s="5"/>
      <c r="AJ5" s="5"/>
      <c r="AK5" s="144" t="s">
        <v>274</v>
      </c>
      <c r="AL5" s="144"/>
      <c r="AM5" s="144"/>
      <c r="AN5" s="189">
        <v>5000</v>
      </c>
      <c r="AO5" s="189"/>
      <c r="AP5" s="189"/>
      <c r="AQ5" s="189"/>
      <c r="AR5" s="189"/>
      <c r="AS5" s="189"/>
      <c r="AT5" s="189"/>
      <c r="AU5" s="189"/>
      <c r="AV5" s="189"/>
      <c r="AW5" s="189"/>
      <c r="AX5" s="190"/>
      <c r="AY5" s="190"/>
      <c r="AZ5" s="190"/>
      <c r="BA5" s="190"/>
      <c r="BB5" s="190"/>
      <c r="BC5" s="190"/>
      <c r="BD5" s="5"/>
      <c r="BE5" s="5"/>
      <c r="BF5" s="5"/>
      <c r="BG5" s="5"/>
      <c r="BH5" s="5"/>
      <c r="BI5" s="5"/>
      <c r="BJ5" s="5"/>
      <c r="BK5" s="5"/>
    </row>
    <row r="6" spans="2:66" ht="25.05" customHeight="1" thickBot="1" x14ac:dyDescent="0.35">
      <c r="B6" s="454" t="s">
        <v>254</v>
      </c>
      <c r="C6" s="455"/>
      <c r="D6" s="455"/>
      <c r="E6" s="538" t="s">
        <v>486</v>
      </c>
      <c r="F6" s="539"/>
      <c r="G6" s="539"/>
      <c r="H6" s="540"/>
      <c r="J6" s="5"/>
      <c r="K6" s="5"/>
      <c r="L6" s="5"/>
      <c r="M6" s="5"/>
      <c r="N6" s="5"/>
      <c r="O6" s="5"/>
      <c r="R6" s="90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90"/>
      <c r="AI6" s="5"/>
      <c r="AJ6" s="5"/>
      <c r="AK6" s="144" t="s">
        <v>275</v>
      </c>
      <c r="AL6" s="144"/>
      <c r="AM6" s="144"/>
      <c r="AN6" s="144">
        <v>5075</v>
      </c>
      <c r="AO6" s="189"/>
      <c r="AP6" s="144"/>
      <c r="AQ6" s="144"/>
      <c r="AR6" s="144"/>
      <c r="AS6" s="144"/>
      <c r="AT6" s="144"/>
      <c r="AU6" s="144"/>
      <c r="AV6" s="144"/>
      <c r="AW6" s="144"/>
      <c r="AX6" s="190"/>
      <c r="AY6" s="190"/>
      <c r="AZ6" s="190"/>
      <c r="BA6" s="190"/>
      <c r="BB6" s="190"/>
      <c r="BC6" s="190"/>
      <c r="BD6" s="5"/>
      <c r="BE6" s="116"/>
      <c r="BF6" s="5"/>
      <c r="BG6" s="115">
        <f>IF(E7=BE51,O15*Цены!I69,IF(E7=BE52,O15*Цены!I70,IF(OR(E7=BE57,E7=BE58),O15*Цены!I75,Цены!I71)))</f>
        <v>0</v>
      </c>
      <c r="BH6" s="1" t="s">
        <v>485</v>
      </c>
      <c r="BI6" s="1" t="s">
        <v>255</v>
      </c>
      <c r="BJ6" s="115">
        <f>IF(E6=BH6,9,8)</f>
        <v>8</v>
      </c>
      <c r="BK6" s="5"/>
    </row>
    <row r="7" spans="2:66" ht="25.05" customHeight="1" x14ac:dyDescent="0.3">
      <c r="B7" s="454" t="s">
        <v>128</v>
      </c>
      <c r="C7" s="455"/>
      <c r="D7" s="455"/>
      <c r="E7" s="494" t="s">
        <v>243</v>
      </c>
      <c r="F7" s="443"/>
      <c r="G7" s="443"/>
      <c r="H7" s="444"/>
      <c r="J7" s="511" t="s">
        <v>188</v>
      </c>
      <c r="K7" s="512"/>
      <c r="L7" s="512"/>
      <c r="M7" s="512"/>
      <c r="N7" s="356"/>
      <c r="O7" s="312"/>
      <c r="P7" s="275"/>
      <c r="Q7" s="275"/>
      <c r="R7" s="262"/>
      <c r="S7" s="198"/>
      <c r="T7" s="396"/>
      <c r="U7" s="426" t="s">
        <v>106</v>
      </c>
      <c r="V7" s="426"/>
      <c r="W7" s="426"/>
      <c r="X7" s="426"/>
      <c r="Y7" s="426"/>
      <c r="Z7" s="426"/>
      <c r="AA7" s="426"/>
      <c r="AB7" s="426"/>
      <c r="AC7" s="426"/>
      <c r="AD7" s="426"/>
      <c r="AE7" s="426"/>
      <c r="AF7" s="426"/>
      <c r="AG7" s="426"/>
      <c r="AH7" s="427"/>
      <c r="AI7" s="3" t="s">
        <v>283</v>
      </c>
      <c r="AJ7" s="3"/>
      <c r="AK7" s="189" t="s">
        <v>276</v>
      </c>
      <c r="AL7" s="189"/>
      <c r="AM7" s="189"/>
      <c r="AN7" s="144">
        <v>5400</v>
      </c>
      <c r="AO7" s="189"/>
      <c r="AP7" s="144"/>
      <c r="AQ7" s="144"/>
      <c r="AR7" s="144"/>
      <c r="AS7" s="144"/>
      <c r="AT7" s="144"/>
      <c r="AU7" s="144"/>
      <c r="AV7" s="144"/>
      <c r="AW7" s="144"/>
      <c r="AX7" s="190"/>
      <c r="AY7" s="190"/>
      <c r="AZ7" s="190"/>
      <c r="BA7" s="190"/>
      <c r="BB7" s="190"/>
      <c r="BC7" s="190"/>
      <c r="BD7" s="5"/>
      <c r="BE7" s="108"/>
      <c r="BG7" s="5">
        <f>IF(E7=BE51,O15*Цены!I45,IF(E7=BE52,O15*Цены!I46,IF(E7=BE53,O15*Цены!I47,IF(E7=BE54,O15*Цены!I48,O15*Цены!I51))))</f>
        <v>0</v>
      </c>
      <c r="BH7" s="1" t="s">
        <v>486</v>
      </c>
      <c r="BI7" s="1" t="s">
        <v>271</v>
      </c>
      <c r="BJ7" s="5"/>
    </row>
    <row r="8" spans="2:66" ht="25.05" customHeight="1" x14ac:dyDescent="0.3">
      <c r="B8" s="513" t="s">
        <v>129</v>
      </c>
      <c r="C8" s="514"/>
      <c r="D8" s="514"/>
      <c r="E8" s="532" t="s">
        <v>97</v>
      </c>
      <c r="F8" s="533"/>
      <c r="G8" s="533"/>
      <c r="H8" s="534"/>
      <c r="J8" s="340" t="s">
        <v>0</v>
      </c>
      <c r="K8" s="341" t="s">
        <v>1</v>
      </c>
      <c r="L8" s="341" t="s">
        <v>8</v>
      </c>
      <c r="M8" s="341" t="s">
        <v>10</v>
      </c>
      <c r="N8" s="209" t="s">
        <v>107</v>
      </c>
      <c r="O8" s="243" t="s">
        <v>24</v>
      </c>
      <c r="P8" s="311"/>
      <c r="Q8" s="311"/>
      <c r="R8" s="263" t="s">
        <v>25</v>
      </c>
      <c r="S8" s="143"/>
      <c r="T8" s="333"/>
      <c r="U8" s="97">
        <v>1000</v>
      </c>
      <c r="V8" s="97">
        <v>1250</v>
      </c>
      <c r="W8" s="97">
        <v>1800</v>
      </c>
      <c r="X8" s="97">
        <v>2000</v>
      </c>
      <c r="Y8" s="97">
        <v>2500</v>
      </c>
      <c r="Z8" s="97">
        <v>2700</v>
      </c>
      <c r="AA8" s="97">
        <v>3000</v>
      </c>
      <c r="AB8" s="97">
        <v>3600</v>
      </c>
      <c r="AC8" s="97">
        <v>3750</v>
      </c>
      <c r="AD8" s="97">
        <v>4000</v>
      </c>
      <c r="AE8" s="97">
        <v>5000</v>
      </c>
      <c r="AF8" s="97">
        <v>5400</v>
      </c>
      <c r="AG8" s="209" t="s">
        <v>107</v>
      </c>
      <c r="AH8" s="53" t="s">
        <v>25</v>
      </c>
      <c r="AI8" s="54"/>
      <c r="AJ8" s="54"/>
      <c r="AK8" s="97">
        <v>1000</v>
      </c>
      <c r="AL8" s="97">
        <v>1250</v>
      </c>
      <c r="AM8" s="97">
        <v>1800</v>
      </c>
      <c r="AN8" s="97">
        <v>2000</v>
      </c>
      <c r="AO8" s="97">
        <v>2500</v>
      </c>
      <c r="AP8" s="97">
        <v>2700</v>
      </c>
      <c r="AQ8" s="97">
        <v>3000</v>
      </c>
      <c r="AR8" s="97">
        <v>3600</v>
      </c>
      <c r="AS8" s="97">
        <v>3750</v>
      </c>
      <c r="AT8" s="97">
        <v>4000</v>
      </c>
      <c r="AU8" s="97">
        <v>5000</v>
      </c>
      <c r="AV8" s="145">
        <v>5400</v>
      </c>
      <c r="AW8" s="191"/>
      <c r="AX8" s="190"/>
      <c r="AY8" s="190"/>
      <c r="AZ8" s="190"/>
      <c r="BA8" s="190"/>
      <c r="BB8" s="190"/>
      <c r="BC8" s="190"/>
      <c r="BD8" s="5"/>
      <c r="BH8" s="117"/>
    </row>
    <row r="9" spans="2:66" ht="25.05" customHeight="1" x14ac:dyDescent="0.35">
      <c r="B9" s="456" t="s">
        <v>130</v>
      </c>
      <c r="C9" s="414"/>
      <c r="D9" s="414"/>
      <c r="E9" s="494">
        <v>6</v>
      </c>
      <c r="F9" s="443"/>
      <c r="G9" s="443"/>
      <c r="H9" s="444"/>
      <c r="J9" s="360" t="s">
        <v>2</v>
      </c>
      <c r="K9" s="242" t="s">
        <v>198</v>
      </c>
      <c r="L9" s="128">
        <f>K4</f>
        <v>2515</v>
      </c>
      <c r="M9" s="129">
        <f>IF(AND(E3&gt;0,E8=BE17),4,IF(AND(E3&gt;0,OR(E8=BE15,E8=BE16,E8=BE18)),E9*2,0))</f>
        <v>12</v>
      </c>
      <c r="N9" s="129"/>
      <c r="O9" s="374">
        <f>IF(L9&gt;2650,M9,M9/2)</f>
        <v>6</v>
      </c>
      <c r="P9" s="276"/>
      <c r="Q9" s="276"/>
      <c r="R9" s="264">
        <f>IF(E7=BE51,O9*Цены!I8,IF(E7=BE52,O9*Цены!I9,IF(E7=BE53,O9*Цены!I10,IF(E7=BE54,O9*Цены!I11,O9*Цены!I14))))</f>
        <v>26321.879999999997</v>
      </c>
      <c r="S9" s="259"/>
      <c r="T9" s="328" t="str">
        <f>J9</f>
        <v>вертикальный профиль</v>
      </c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363">
        <f>R9</f>
        <v>26321.879999999997</v>
      </c>
      <c r="AI9" s="403">
        <v>0.69</v>
      </c>
      <c r="AJ9" s="3">
        <f>AI9*L9*M9/1000</f>
        <v>20.824199999999998</v>
      </c>
      <c r="AK9" s="144"/>
      <c r="AL9" s="144"/>
      <c r="AM9" s="144"/>
      <c r="AN9" s="144"/>
      <c r="AO9" s="144"/>
      <c r="AP9" s="144"/>
      <c r="AQ9" s="144"/>
      <c r="AR9" s="144"/>
      <c r="AS9" s="144"/>
      <c r="AT9" s="144"/>
      <c r="AU9" s="144"/>
      <c r="AV9" s="144"/>
      <c r="AW9" s="144"/>
      <c r="AX9" s="192"/>
      <c r="AY9" s="192"/>
      <c r="AZ9" s="192"/>
      <c r="BA9" s="192"/>
      <c r="BB9" s="192"/>
      <c r="BC9" s="192"/>
      <c r="BD9" s="5"/>
      <c r="BN9" s="1" t="s">
        <v>489</v>
      </c>
    </row>
    <row r="10" spans="2:66" ht="25.05" customHeight="1" thickBot="1" x14ac:dyDescent="0.35">
      <c r="B10" s="517" t="s">
        <v>164</v>
      </c>
      <c r="C10" s="518"/>
      <c r="D10" s="518"/>
      <c r="E10" s="535" t="s">
        <v>135</v>
      </c>
      <c r="F10" s="536"/>
      <c r="G10" s="536"/>
      <c r="H10" s="537"/>
      <c r="J10" s="360" t="s">
        <v>5</v>
      </c>
      <c r="K10" s="242" t="s">
        <v>200</v>
      </c>
      <c r="L10" s="128">
        <f>IF(OR(E8=BE15,E8=BE17),K5-120,0)</f>
        <v>0</v>
      </c>
      <c r="M10" s="129">
        <f>IF(AND(L10&gt;0,E8=BE15),E9,IF(AND(L10&gt;0,E8=BE17),2,0))</f>
        <v>0</v>
      </c>
      <c r="N10" s="544">
        <f>L10*M10+L11*M11</f>
        <v>0</v>
      </c>
      <c r="O10" s="542">
        <f>CEILING((L10*M10+L11*M11)/5000,1)</f>
        <v>0</v>
      </c>
      <c r="P10" s="276"/>
      <c r="Q10" s="276"/>
      <c r="R10" s="479">
        <f>IF(OR(E7=BE52,E7=BE58,E7=BE55),O10*Цены!I25,O10*Цены!I24)</f>
        <v>0</v>
      </c>
      <c r="S10" s="281"/>
      <c r="T10" s="541" t="str">
        <f>J10</f>
        <v>направляющая верхняя</v>
      </c>
      <c r="U10" s="530">
        <f>AK10</f>
        <v>0</v>
      </c>
      <c r="V10" s="530"/>
      <c r="W10" s="530">
        <f t="shared" ref="W10:AB10" si="0">AM10</f>
        <v>0</v>
      </c>
      <c r="X10" s="530">
        <f t="shared" si="0"/>
        <v>0</v>
      </c>
      <c r="Y10" s="530">
        <f t="shared" si="0"/>
        <v>0</v>
      </c>
      <c r="Z10" s="530">
        <f t="shared" si="0"/>
        <v>0</v>
      </c>
      <c r="AA10" s="530">
        <f t="shared" si="0"/>
        <v>0</v>
      </c>
      <c r="AB10" s="530">
        <f t="shared" si="0"/>
        <v>0</v>
      </c>
      <c r="AC10" s="530"/>
      <c r="AD10" s="530">
        <f>AT10</f>
        <v>0</v>
      </c>
      <c r="AE10" s="530">
        <f>AU10</f>
        <v>0</v>
      </c>
      <c r="AF10" s="530">
        <f>AV10</f>
        <v>0</v>
      </c>
      <c r="AG10" s="474">
        <f>Y10*Y8+AE10*$AE$8</f>
        <v>0</v>
      </c>
      <c r="AH10" s="531">
        <f>IF(OR(E7=BE52,E7=BE58,E7=BE55),Y10*Цены!I25*0.5+AE10*Цены!I25,Y10*Цены!I24*0.5+AE10*Цены!I24)</f>
        <v>0</v>
      </c>
      <c r="AI10" s="3"/>
      <c r="AJ10" s="3"/>
      <c r="AK10" s="201"/>
      <c r="AL10" s="201"/>
      <c r="AM10" s="201"/>
      <c r="AN10" s="201"/>
      <c r="AO10" s="202">
        <f>IF(AND(AW10&gt;0,AW10&lt;=2500),1,0)</f>
        <v>0</v>
      </c>
      <c r="AP10" s="201"/>
      <c r="AQ10" s="201"/>
      <c r="AR10" s="201"/>
      <c r="AS10" s="201"/>
      <c r="AT10" s="201"/>
      <c r="AU10" s="202">
        <f>IF(AND(AW10&gt;2500,AW10&lt;=5000),AX10+1,AX10)</f>
        <v>0</v>
      </c>
      <c r="AV10" s="201"/>
      <c r="AW10" s="203">
        <f>N10-AN5*AX10</f>
        <v>0</v>
      </c>
      <c r="AX10" s="202">
        <f>INT(N10/AN5)</f>
        <v>0</v>
      </c>
      <c r="AY10" s="144"/>
      <c r="AZ10" s="144"/>
      <c r="BA10" s="144"/>
      <c r="BB10" s="144"/>
      <c r="BC10" s="144"/>
      <c r="BD10" s="5"/>
      <c r="BE10" s="66" t="s">
        <v>11</v>
      </c>
      <c r="BN10" s="1" t="s">
        <v>487</v>
      </c>
    </row>
    <row r="11" spans="2:66" ht="25.05" customHeight="1" x14ac:dyDescent="0.3">
      <c r="J11" s="360" t="s">
        <v>5</v>
      </c>
      <c r="K11" s="242" t="s">
        <v>200</v>
      </c>
      <c r="L11" s="128">
        <f>IF(E8=BE17,(E4-K5*2)-120,0)</f>
        <v>0</v>
      </c>
      <c r="M11" s="129">
        <f>IF(L11&gt;0,1,0)</f>
        <v>0</v>
      </c>
      <c r="N11" s="545"/>
      <c r="O11" s="543"/>
      <c r="P11" s="276"/>
      <c r="Q11" s="276"/>
      <c r="R11" s="546"/>
      <c r="S11" s="281"/>
      <c r="T11" s="541"/>
      <c r="U11" s="530"/>
      <c r="V11" s="530"/>
      <c r="W11" s="530"/>
      <c r="X11" s="530"/>
      <c r="Y11" s="530"/>
      <c r="Z11" s="530"/>
      <c r="AA11" s="530"/>
      <c r="AB11" s="530"/>
      <c r="AC11" s="530"/>
      <c r="AD11" s="530"/>
      <c r="AE11" s="530"/>
      <c r="AF11" s="530"/>
      <c r="AG11" s="474"/>
      <c r="AH11" s="531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5"/>
      <c r="AX11" s="3"/>
      <c r="AY11" s="200"/>
      <c r="AZ11" s="144"/>
      <c r="BA11" s="192"/>
      <c r="BB11" s="192"/>
      <c r="BC11" s="192"/>
      <c r="BD11" s="5"/>
      <c r="BE11" s="66" t="s">
        <v>12</v>
      </c>
      <c r="BN11" s="1" t="s">
        <v>488</v>
      </c>
    </row>
    <row r="12" spans="2:66" ht="25.05" customHeight="1" thickBot="1" x14ac:dyDescent="0.35">
      <c r="J12" s="360" t="s">
        <v>6</v>
      </c>
      <c r="K12" s="242" t="s">
        <v>201</v>
      </c>
      <c r="L12" s="128">
        <f>IF(OR(E8=BE15,E8=BE17),E4,0)</f>
        <v>0</v>
      </c>
      <c r="M12" s="129">
        <f>IF(E8=BE15,2,IF(E8=BE17,1,0))</f>
        <v>0</v>
      </c>
      <c r="N12" s="128">
        <f>L12*M12</f>
        <v>0</v>
      </c>
      <c r="O12" s="374">
        <f>CEILING((L12*M12)/5000,1)</f>
        <v>0</v>
      </c>
      <c r="P12" s="276"/>
      <c r="Q12" s="276"/>
      <c r="R12" s="264">
        <f>IF(E7=BE51,O12*Цены!I16,IF(E7=BE52,O12*Цены!I17,IF(E7=BE53,O12*Цены!I18,IF(E7=BE54,O12*Цены!I19,O12*Цены!I22))))</f>
        <v>0</v>
      </c>
      <c r="S12" s="259"/>
      <c r="T12" s="328" t="str">
        <f>J12</f>
        <v>накладка декоративная</v>
      </c>
      <c r="U12" s="362">
        <f>AK12</f>
        <v>0</v>
      </c>
      <c r="V12" s="362"/>
      <c r="W12" s="362">
        <f t="shared" ref="W12:AB12" si="1">AM12</f>
        <v>0</v>
      </c>
      <c r="X12" s="362">
        <f t="shared" si="1"/>
        <v>0</v>
      </c>
      <c r="Y12" s="362">
        <f t="shared" si="1"/>
        <v>0</v>
      </c>
      <c r="Z12" s="362">
        <f t="shared" si="1"/>
        <v>0</v>
      </c>
      <c r="AA12" s="362">
        <f t="shared" si="1"/>
        <v>0</v>
      </c>
      <c r="AB12" s="362">
        <f t="shared" si="1"/>
        <v>0</v>
      </c>
      <c r="AC12" s="362"/>
      <c r="AD12" s="362">
        <f>AT12</f>
        <v>0</v>
      </c>
      <c r="AE12" s="362">
        <f>AU12</f>
        <v>0</v>
      </c>
      <c r="AF12" s="362">
        <f>AV12</f>
        <v>0</v>
      </c>
      <c r="AG12" s="364">
        <f>Y12*Y8+AE12*$AE$8</f>
        <v>0</v>
      </c>
      <c r="AH12" s="347">
        <f>IF($E$7=$BE$51,(Y12*0.5+AE12)*Цены!$I$16,
IF($E$7=$BE$52,(Y12*0.5+AE12)*Цены!$I$17,
IF($E$7=$BE$53,(Y12*0.5+AE12)*Цены!$I$18,
IF($E$7=BE54,(Y12*0.5+AE12)*Цены!$I$19,
(Y12*0.5+AE12)*Цены!$I$22))))</f>
        <v>0</v>
      </c>
      <c r="AI12" s="3"/>
      <c r="AJ12" s="3"/>
      <c r="AK12" s="204"/>
      <c r="AL12" s="204"/>
      <c r="AM12" s="204"/>
      <c r="AN12" s="204"/>
      <c r="AO12" s="205">
        <f>IF(AND(AW12&gt;0,AW12&lt;=2500),1,0)</f>
        <v>0</v>
      </c>
      <c r="AP12" s="204"/>
      <c r="AQ12" s="204"/>
      <c r="AR12" s="204"/>
      <c r="AS12" s="204"/>
      <c r="AT12" s="204"/>
      <c r="AU12" s="205">
        <f>IF(AND(AW12&gt;2500,AW12&lt;=5000),AX12+1,AX12)</f>
        <v>0</v>
      </c>
      <c r="AV12" s="204"/>
      <c r="AW12" s="206">
        <f>N12-AN6*AX12</f>
        <v>0</v>
      </c>
      <c r="AX12" s="205">
        <f>INT(N12/AN6)</f>
        <v>0</v>
      </c>
      <c r="AY12" s="144"/>
      <c r="AZ12" s="144"/>
      <c r="BA12" s="192"/>
      <c r="BB12" s="192"/>
      <c r="BC12" s="192"/>
      <c r="BD12" s="5"/>
      <c r="BE12" s="66" t="s">
        <v>13</v>
      </c>
      <c r="BF12" s="5"/>
      <c r="BG12" s="5"/>
      <c r="BH12" s="5"/>
    </row>
    <row r="13" spans="2:66" ht="25.05" customHeight="1" thickBot="1" x14ac:dyDescent="0.35">
      <c r="B13" s="59"/>
      <c r="C13" s="60"/>
      <c r="D13" s="60"/>
      <c r="E13" s="60"/>
      <c r="F13" s="60"/>
      <c r="G13" s="60"/>
      <c r="H13" s="61"/>
      <c r="J13" s="360" t="s">
        <v>3</v>
      </c>
      <c r="K13" s="242" t="s">
        <v>270</v>
      </c>
      <c r="L13" s="128">
        <f>K5-78</f>
        <v>337</v>
      </c>
      <c r="M13" s="129">
        <f>IF(AND(E3&gt;0,E8=BE17),2,IF(AND(E3&gt;0,OR(E8=BE15,E8=BE16,E8=BE18)),E9,0))</f>
        <v>6</v>
      </c>
      <c r="N13" s="128">
        <f>L13*M13</f>
        <v>2022</v>
      </c>
      <c r="O13" s="372">
        <f>AX13+IF(AW13&gt;0,1,0)</f>
        <v>1</v>
      </c>
      <c r="P13" s="276"/>
      <c r="Q13" s="276"/>
      <c r="R13" s="264">
        <f>IF(E7=BE51,O13*Цены!I29,IF(E7=BE52,O13*Цены!I30,IF(E7=BE53,O13*Цены!I31,IF(E7=BE54,O13*Цены!I32,O13*Цены!I35))))</f>
        <v>2648.86</v>
      </c>
      <c r="S13" s="259"/>
      <c r="T13" s="328" t="str">
        <f t="shared" ref="T13:T16" si="2">J13</f>
        <v>рамка верхняя</v>
      </c>
      <c r="U13" s="362">
        <f t="shared" ref="U13:U16" si="3">AK13</f>
        <v>0</v>
      </c>
      <c r="V13" s="362"/>
      <c r="W13" s="362">
        <f t="shared" ref="W13:W16" si="4">AM13</f>
        <v>0</v>
      </c>
      <c r="X13" s="362">
        <f t="shared" ref="X13:X16" si="5">AN13</f>
        <v>0</v>
      </c>
      <c r="Y13" s="362">
        <f t="shared" ref="Y13:Y16" si="6">AO13</f>
        <v>0</v>
      </c>
      <c r="Z13" s="362">
        <f t="shared" ref="Z13:Z16" si="7">AP13</f>
        <v>0</v>
      </c>
      <c r="AA13" s="362">
        <f t="shared" ref="AA13:AA16" si="8">AQ13</f>
        <v>1</v>
      </c>
      <c r="AB13" s="362">
        <f t="shared" ref="AB13:AB16" si="9">AR13</f>
        <v>0</v>
      </c>
      <c r="AC13" s="362"/>
      <c r="AD13" s="362">
        <f t="shared" ref="AD13:AD16" si="10">AT13</f>
        <v>0</v>
      </c>
      <c r="AE13" s="362">
        <f t="shared" ref="AE13:AE16" si="11">AU13</f>
        <v>0</v>
      </c>
      <c r="AF13" s="362">
        <f t="shared" ref="AF13:AF16" si="12">AV13</f>
        <v>0</v>
      </c>
      <c r="AG13" s="364">
        <f>U13*$U$8+X13*$X$8+AA13*$AA$8+AD13*$AD$8+AE13*$AE$8</f>
        <v>3000</v>
      </c>
      <c r="AH13" s="347">
        <f>IF($E$7=$BE$51,(U13*0.2+X13*0.4+AA13*0.6+AD13*0.8+AE13)*Цены!$I$29,
IF($E$7=$BE$52,(U13*0.2+X13*0.4+AA13*0.6+AD13*0.8+AE13)*Цены!$I$30,
IF($E$7=$BE$53,(U13*0.2+X13*0.4+AA13*0.6+AD13*0.8+AE13)*Цены!$I$31,
IF($E$7=$BE$54,(U13*0.2+X13*0.4+AA13*0.6+AD13*0.8+AE13)*Цены!$I$32,
(U13*0.2+X13*0.4+AA13*0.6+AD13*0.8+AE13)*Цены!$I$35))))</f>
        <v>1589.316</v>
      </c>
      <c r="AI13" s="404">
        <v>0.47399999999999998</v>
      </c>
      <c r="AJ13" s="3">
        <f>AI13*L13*M13/1000</f>
        <v>0.95842799999999995</v>
      </c>
      <c r="AK13" s="144">
        <f>IF(AND(AW13&gt;0,AW13&lt;=1000),1,0)</f>
        <v>0</v>
      </c>
      <c r="AL13" s="146"/>
      <c r="AM13" s="146"/>
      <c r="AN13" s="144">
        <f>IF(AND(AW13&gt;1000,AW13&lt;=2000),1,0)</f>
        <v>0</v>
      </c>
      <c r="AO13" s="146"/>
      <c r="AP13" s="146"/>
      <c r="AQ13" s="144">
        <f>IF(AND(AW13&gt;2000,AW13&lt;=3000),1,0)</f>
        <v>1</v>
      </c>
      <c r="AR13" s="146"/>
      <c r="AS13" s="146"/>
      <c r="AT13" s="144">
        <f>IF(AND(AW13&gt;3000,AW13&lt;=4000),1,0)</f>
        <v>0</v>
      </c>
      <c r="AU13" s="144">
        <f>IF(AND(AW13&gt;4000,AW13&lt;=5000),AX13+1,AX13)</f>
        <v>0</v>
      </c>
      <c r="AV13" s="146"/>
      <c r="AW13" s="189">
        <f>N13-INT($AN$5/L13)*L13*AX13</f>
        <v>2022</v>
      </c>
      <c r="AX13" s="144">
        <f>INT(M13/INT($AN$5/L13))</f>
        <v>0</v>
      </c>
      <c r="AY13" s="144"/>
      <c r="AZ13" s="144"/>
      <c r="BA13" s="192"/>
      <c r="BB13" s="192"/>
      <c r="BC13" s="192"/>
      <c r="BD13" s="5"/>
      <c r="BE13" s="5"/>
      <c r="BF13" s="5"/>
      <c r="BG13" s="5"/>
      <c r="BH13" s="5"/>
    </row>
    <row r="14" spans="2:66" ht="25.05" customHeight="1" thickBot="1" x14ac:dyDescent="0.4">
      <c r="B14" s="62" t="s">
        <v>113</v>
      </c>
      <c r="C14" s="63">
        <f>E5+1</f>
        <v>1</v>
      </c>
      <c r="D14" s="99"/>
      <c r="E14" s="100"/>
      <c r="F14" s="100"/>
      <c r="G14" s="100"/>
      <c r="H14" s="65"/>
      <c r="I14" s="77"/>
      <c r="J14" s="360" t="s">
        <v>4</v>
      </c>
      <c r="K14" s="242" t="s">
        <v>199</v>
      </c>
      <c r="L14" s="128">
        <f>K5-78</f>
        <v>337</v>
      </c>
      <c r="M14" s="129">
        <f>IF(AND(E3&gt;0,E8=BE17),2,IF(AND(E3&gt;0,OR(E8=BE15,E8=BE16,E8=BE18)),E9,0))</f>
        <v>6</v>
      </c>
      <c r="N14" s="128">
        <f>L14*M14</f>
        <v>2022</v>
      </c>
      <c r="O14" s="372">
        <f>AX14+IF(AW14&gt;0,1,0)</f>
        <v>1</v>
      </c>
      <c r="P14" s="276"/>
      <c r="Q14" s="276"/>
      <c r="R14" s="264">
        <f>IF(E7=BE51,O14*Цены!I37,IF(E7=BE52,O14*Цены!I38,IF(E7=BE53,O14*Цены!I39,IF(E7=BE54,O14*Цены!I40,O14*Цены!I43))))</f>
        <v>2181.79</v>
      </c>
      <c r="S14" s="259"/>
      <c r="T14" s="328" t="str">
        <f t="shared" si="2"/>
        <v>рамка нижняя</v>
      </c>
      <c r="U14" s="362">
        <f t="shared" si="3"/>
        <v>0</v>
      </c>
      <c r="V14" s="362"/>
      <c r="W14" s="362">
        <f t="shared" si="4"/>
        <v>0</v>
      </c>
      <c r="X14" s="362">
        <f t="shared" si="5"/>
        <v>0</v>
      </c>
      <c r="Y14" s="362">
        <f t="shared" si="6"/>
        <v>0</v>
      </c>
      <c r="Z14" s="362">
        <f t="shared" si="7"/>
        <v>0</v>
      </c>
      <c r="AA14" s="362">
        <f t="shared" si="8"/>
        <v>1</v>
      </c>
      <c r="AB14" s="362">
        <f t="shared" si="9"/>
        <v>0</v>
      </c>
      <c r="AC14" s="362"/>
      <c r="AD14" s="362">
        <f t="shared" si="10"/>
        <v>0</v>
      </c>
      <c r="AE14" s="362">
        <f t="shared" si="11"/>
        <v>0</v>
      </c>
      <c r="AF14" s="362">
        <f t="shared" si="12"/>
        <v>0</v>
      </c>
      <c r="AG14" s="364">
        <f>U14*$U$8+X14*$X$8+AA14*$AA$8+AD14*$AD$8+AE14*$AE$8</f>
        <v>3000</v>
      </c>
      <c r="AH14" s="347">
        <f>IF($E$7=$BE$51,(U14*0.2+X14*0.4+AA14*0.6+AD14*0.8+AE14)*Цены!$I$37,
IF($E$7=$BE$52,(U14*0.2+X14*0.4+AA14*0.6+AD14*0.8+AE14)*Цены!$I$38,
IF($E$7=$BE$53,(U14*0.2+X14*0.4+AA14*0.6+AD14*0.8+AE14)*Цены!$I$39,
IF($E$7=$BE$54,(U14*0.2+X14*0.4+AA14*0.6+AD14*0.8+AE14)*Цены!$I$40,
(U14*0.2+X14*0.4+AA14*0.6+AD14*0.8+AE14)*Цены!$I$43))))</f>
        <v>1309.0739999999998</v>
      </c>
      <c r="AI14" s="404">
        <v>0.379</v>
      </c>
      <c r="AJ14" s="3">
        <f>AI14*L14*M14/1000</f>
        <v>0.76633799999999996</v>
      </c>
      <c r="AK14" s="144">
        <f>IF(AND(AW14&gt;0,AW14&lt;=1000),1,0)</f>
        <v>0</v>
      </c>
      <c r="AL14" s="146"/>
      <c r="AM14" s="146"/>
      <c r="AN14" s="144">
        <f>IF(AND(AW14&gt;1000,AW14&lt;=2000),1,0)</f>
        <v>0</v>
      </c>
      <c r="AO14" s="146"/>
      <c r="AP14" s="146"/>
      <c r="AQ14" s="144">
        <f>IF(AND(AW14&gt;2000,AW14&lt;=3000),1,0)</f>
        <v>1</v>
      </c>
      <c r="AR14" s="146"/>
      <c r="AS14" s="146"/>
      <c r="AT14" s="144">
        <f>IF(AND(AW14&gt;3000,AW14&lt;=4000),1,0)</f>
        <v>0</v>
      </c>
      <c r="AU14" s="144">
        <f>IF(AND(AW14&gt;4000,AW14&lt;=5000),AX14+1,AX14)</f>
        <v>0</v>
      </c>
      <c r="AV14" s="146"/>
      <c r="AW14" s="189">
        <f>N14-INT($AN$5/L14)*L14*AX14</f>
        <v>2022</v>
      </c>
      <c r="AX14" s="144">
        <f>INT(M14/INT($AN$5/L14))</f>
        <v>0</v>
      </c>
      <c r="AY14" s="144"/>
      <c r="AZ14" s="144"/>
      <c r="BA14" s="192"/>
      <c r="BB14" s="192" t="s">
        <v>277</v>
      </c>
      <c r="BC14" s="193" t="s">
        <v>278</v>
      </c>
      <c r="BD14" s="5"/>
      <c r="BE14" s="5"/>
      <c r="BF14" s="5"/>
      <c r="BG14" s="5"/>
      <c r="BH14" s="5"/>
    </row>
    <row r="15" spans="2:66" ht="25.05" customHeight="1" x14ac:dyDescent="0.3">
      <c r="B15" s="67"/>
      <c r="C15" s="68"/>
      <c r="D15" s="68"/>
      <c r="E15" s="68"/>
      <c r="F15" s="68"/>
      <c r="G15" s="68"/>
      <c r="H15" s="69"/>
      <c r="I15" s="77"/>
      <c r="J15" s="136" t="str">
        <f>E6</f>
        <v>рамка средняя 4в1</v>
      </c>
      <c r="K15" s="242" t="str">
        <f>IF(J15=BH6,BI6,BI7)</f>
        <v>FA0716.VP500</v>
      </c>
      <c r="L15" s="128">
        <f>IF(AND(E6=BH7,E5&gt;0),K5-78,IF(AND(E6=BH6,E5&gt;0),K5-76,0))</f>
        <v>0</v>
      </c>
      <c r="M15" s="129">
        <f>IF(AND(E8=BE17,E5&gt;0),E5*2,E5*E9)</f>
        <v>0</v>
      </c>
      <c r="N15" s="128">
        <f>L15*M15</f>
        <v>0</v>
      </c>
      <c r="O15" s="372">
        <f>IF(J15=BH7,AX15+IF(AW15&gt;0,1,0),BA15+IF(AZ15&gt;0,1,0))</f>
        <v>0</v>
      </c>
      <c r="P15" s="276"/>
      <c r="Q15" s="276"/>
      <c r="R15" s="264">
        <f>IF(J15=BH6,BG6,BG7)</f>
        <v>0</v>
      </c>
      <c r="S15" s="259"/>
      <c r="T15" s="328" t="str">
        <f t="shared" si="2"/>
        <v>рамка средняя 4в1</v>
      </c>
      <c r="U15" s="362">
        <f t="shared" si="3"/>
        <v>0</v>
      </c>
      <c r="V15" s="362"/>
      <c r="W15" s="362">
        <f t="shared" si="4"/>
        <v>0</v>
      </c>
      <c r="X15" s="362">
        <f t="shared" si="5"/>
        <v>0</v>
      </c>
      <c r="Y15" s="362">
        <f t="shared" si="6"/>
        <v>0</v>
      </c>
      <c r="Z15" s="362">
        <f t="shared" si="7"/>
        <v>0</v>
      </c>
      <c r="AA15" s="362">
        <f t="shared" si="8"/>
        <v>0</v>
      </c>
      <c r="AB15" s="362">
        <f t="shared" si="9"/>
        <v>0</v>
      </c>
      <c r="AC15" s="362"/>
      <c r="AD15" s="362">
        <f t="shared" si="10"/>
        <v>0</v>
      </c>
      <c r="AE15" s="362">
        <f t="shared" si="11"/>
        <v>0</v>
      </c>
      <c r="AF15" s="362">
        <f t="shared" si="12"/>
        <v>0</v>
      </c>
      <c r="AG15" s="364">
        <f>U15*$U$8+X15*$X$8+AA15*$AA$8+AD15*$AD$8+AE15*$AE$8</f>
        <v>0</v>
      </c>
      <c r="AH15" s="233">
        <f>IF(E6=BH6,BC15,BB15)</f>
        <v>0</v>
      </c>
      <c r="AI15" s="404">
        <v>0.58499999999999996</v>
      </c>
      <c r="AJ15" s="3">
        <f>AI15*L15*M15/1000</f>
        <v>0</v>
      </c>
      <c r="AK15" s="194">
        <f>IF(AND(J15=BH7,AW15&gt;0,AW15&lt;=1000),1,0)</f>
        <v>0</v>
      </c>
      <c r="AL15" s="146"/>
      <c r="AM15" s="195">
        <f>IF(AND(J15=BH6,AZ15&gt;0,AZ15&lt;=1800),1,0)</f>
        <v>0</v>
      </c>
      <c r="AN15" s="194">
        <f>IF(AND(J15=BH7,AW15&gt;1000,AW15&lt;=2000),1,0)</f>
        <v>0</v>
      </c>
      <c r="AO15" s="146"/>
      <c r="AP15" s="195">
        <f>IF(AND(J15=BH6,AZ15&gt;1800,AZ15&lt;=2700),1,0)</f>
        <v>0</v>
      </c>
      <c r="AQ15" s="194">
        <f>IF(AND(J15=BH7,AW15&gt;2000,AW15&lt;=3000),1,0)</f>
        <v>0</v>
      </c>
      <c r="AR15" s="195">
        <f>IF(AND(J15=BH6,AZ15&gt;2700,AZ15&lt;=3600),1,0)</f>
        <v>0</v>
      </c>
      <c r="AS15" s="146"/>
      <c r="AT15" s="194">
        <f>IF(AND(J15=BH7,AW15&gt;3000,AW15&lt;=4000),1,0)</f>
        <v>0</v>
      </c>
      <c r="AU15" s="194">
        <f>IF(AND(J15=BH7,AW15&gt;4000,AW15&lt;=5000),AX15+1,AX15)</f>
        <v>0</v>
      </c>
      <c r="AV15" s="195">
        <f>IF(AND(J15=BH6,AZ15&gt;3600,AZ15&lt;=5400),BA15+1,BA15)</f>
        <v>0</v>
      </c>
      <c r="AW15" s="189">
        <f>IF(E5&lt;&gt;0,N15-INT(AN5/L15)*L15*AX15,0)</f>
        <v>0</v>
      </c>
      <c r="AX15" s="144">
        <f>IF(AND(E6=BH7,E5&lt;&gt;0),INT(M15/INT(AN5/L15)),0)</f>
        <v>0</v>
      </c>
      <c r="AY15" s="144"/>
      <c r="AZ15" s="144">
        <f>IF(E5&lt;&gt;0,N15-INT(AN7/L15)*L15*BA15,0)</f>
        <v>0</v>
      </c>
      <c r="BA15" s="192">
        <f>IF(AND(E6=BH6,E5&lt;&gt;0),INT(M15/INT(AN7/L15)),0)</f>
        <v>0</v>
      </c>
      <c r="BB15" s="192">
        <f>IF(E7=BE51,(U15*0.2+X15*0.4+AA15*0.6+AD15*0.8+AE15)*Цены!$I$45,
IF(E7=BE52,(U15*0.2+X15*0.4+AA15*0.6+AD15*0.8+AE15)*Цены!$I$46,
IF(E7=BE53,(U15*0.2+X15*0.4+AA15*0.6+AD15*0.8+AE15)*Цены!$I$47,
IF(E7=BE54,(U15*0.2+X15*0.4+AA15*0.6+AD15*0.8+AE15)*Цены!$I$48,
(U15*0.2+X15*0.4+AA15*0.6+AD15*0.8+AE15)*Цены!$I$51))))</f>
        <v>0</v>
      </c>
      <c r="BC15" s="192">
        <f>IF(E7=BE51,(W15*0.34+Z15*0.5+AB15*0.67+AF15)*Цены!$I$69,
IF(E7=BE52,(W15*0.34+Z15*0.5+AB15*0.67+AF15)*Цены!$I$70,
IF(E7=BE53,(W15*0.34+Z15*0.5+AB15*0.67+AF15)*Цены!$I$71,
IF(E7=BE54,(W15*0.34+Z15*0.5+AB15*0.67+AF15)*Цены!$I$71,
(W15*0.34+Z15*0.5+AB15*0.67+AF15)*Цены!$I$75))))</f>
        <v>0</v>
      </c>
      <c r="BD15" s="5"/>
      <c r="BE15" s="118" t="s">
        <v>96</v>
      </c>
      <c r="BF15" s="5"/>
      <c r="BG15" s="5"/>
      <c r="BH15" s="5"/>
    </row>
    <row r="16" spans="2:66" ht="25.05" customHeight="1" thickBot="1" x14ac:dyDescent="0.4">
      <c r="B16" s="67"/>
      <c r="C16" s="68"/>
      <c r="D16" s="68"/>
      <c r="E16" s="68"/>
      <c r="F16" s="68"/>
      <c r="G16" s="68"/>
      <c r="H16" s="69"/>
      <c r="I16" s="77"/>
      <c r="J16" s="360" t="s">
        <v>7</v>
      </c>
      <c r="K16" s="242" t="s">
        <v>202</v>
      </c>
      <c r="L16" s="128">
        <f>IF(OR(E8=BE17,E8=BE15,E8=BE16),L13-50,0)</f>
        <v>0</v>
      </c>
      <c r="M16" s="129">
        <f>IF(OR(E8=BE15,E8=BE16),E9,IF(E8=BE17,2,0))</f>
        <v>0</v>
      </c>
      <c r="N16" s="128">
        <f t="shared" ref="N16" si="13">L16*M16</f>
        <v>0</v>
      </c>
      <c r="O16" s="374">
        <f>CEILING((L16*M16)/5400,1)</f>
        <v>0</v>
      </c>
      <c r="P16" s="276"/>
      <c r="Q16" s="276"/>
      <c r="R16" s="373">
        <f>O16*Цены!I68</f>
        <v>0</v>
      </c>
      <c r="S16" s="281"/>
      <c r="T16" s="328" t="str">
        <f t="shared" si="2"/>
        <v>профиль "П"</v>
      </c>
      <c r="U16" s="362">
        <f t="shared" si="3"/>
        <v>0</v>
      </c>
      <c r="V16" s="362"/>
      <c r="W16" s="362">
        <f t="shared" si="4"/>
        <v>0</v>
      </c>
      <c r="X16" s="362">
        <f t="shared" si="5"/>
        <v>0</v>
      </c>
      <c r="Y16" s="362">
        <f t="shared" si="6"/>
        <v>0</v>
      </c>
      <c r="Z16" s="362">
        <f t="shared" si="7"/>
        <v>0</v>
      </c>
      <c r="AA16" s="362">
        <f t="shared" si="8"/>
        <v>0</v>
      </c>
      <c r="AB16" s="362">
        <f t="shared" si="9"/>
        <v>0</v>
      </c>
      <c r="AC16" s="362"/>
      <c r="AD16" s="362">
        <f t="shared" si="10"/>
        <v>0</v>
      </c>
      <c r="AE16" s="362">
        <f t="shared" si="11"/>
        <v>0</v>
      </c>
      <c r="AF16" s="362">
        <f t="shared" si="12"/>
        <v>0</v>
      </c>
      <c r="AG16" s="364">
        <f>Z16*Z8+AF16*AF8</f>
        <v>0</v>
      </c>
      <c r="AH16" s="244">
        <f>Z16*Цены!I68*0.5+AF16*Цены!I68</f>
        <v>0</v>
      </c>
      <c r="AI16" s="405">
        <v>0.33600000000000002</v>
      </c>
      <c r="AJ16" s="3">
        <f>AI16*L15*M15/1000</f>
        <v>0</v>
      </c>
      <c r="AK16" s="196"/>
      <c r="AL16" s="196"/>
      <c r="AM16" s="196"/>
      <c r="AN16" s="196"/>
      <c r="AO16" s="196"/>
      <c r="AP16" s="144">
        <f>IF(AND(AZ16&gt;0,AZ16&lt;=2700),1,0)</f>
        <v>0</v>
      </c>
      <c r="AQ16" s="196"/>
      <c r="AR16" s="196"/>
      <c r="AS16" s="196"/>
      <c r="AT16" s="196"/>
      <c r="AU16" s="196"/>
      <c r="AV16" s="144">
        <f>IF(AND(AZ16&gt;2700,AZ16&lt;=5400),BA16+1,BA16)</f>
        <v>0</v>
      </c>
      <c r="AW16" s="189"/>
      <c r="AX16" s="144"/>
      <c r="AY16" s="189"/>
      <c r="AZ16" s="189">
        <f>N16-AN7*AX16</f>
        <v>0</v>
      </c>
      <c r="BA16" s="189">
        <f>INT(N16/AN7)</f>
        <v>0</v>
      </c>
      <c r="BB16" s="189"/>
      <c r="BC16" s="189"/>
      <c r="BD16" s="5"/>
      <c r="BE16" s="118" t="s">
        <v>98</v>
      </c>
      <c r="BF16" s="5"/>
      <c r="BG16" s="5"/>
      <c r="BH16" s="5"/>
    </row>
    <row r="17" spans="2:70" ht="25.05" customHeight="1" thickBot="1" x14ac:dyDescent="0.4">
      <c r="B17" s="70" t="s">
        <v>114</v>
      </c>
      <c r="C17" s="357" t="s">
        <v>115</v>
      </c>
      <c r="D17" s="71" t="s">
        <v>84</v>
      </c>
      <c r="E17" s="357" t="s">
        <v>116</v>
      </c>
      <c r="F17" s="357" t="s">
        <v>117</v>
      </c>
      <c r="G17" s="357" t="s">
        <v>133</v>
      </c>
      <c r="H17" s="72" t="s">
        <v>134</v>
      </c>
      <c r="J17" s="268"/>
      <c r="K17" s="269"/>
      <c r="L17" s="269"/>
      <c r="M17" s="269"/>
      <c r="N17" s="269"/>
      <c r="O17" s="270"/>
      <c r="P17" s="278"/>
      <c r="Q17" s="278"/>
      <c r="R17" s="137">
        <f>SUM(R9:R16)</f>
        <v>31152.53</v>
      </c>
      <c r="S17" s="285"/>
      <c r="T17" s="402"/>
      <c r="U17" s="424" t="s">
        <v>109</v>
      </c>
      <c r="V17" s="424"/>
      <c r="W17" s="424"/>
      <c r="X17" s="424"/>
      <c r="Y17" s="424"/>
      <c r="Z17" s="424"/>
      <c r="AA17" s="424"/>
      <c r="AB17" s="424"/>
      <c r="AC17" s="424"/>
      <c r="AD17" s="424"/>
      <c r="AE17" s="424"/>
      <c r="AF17" s="424"/>
      <c r="AG17" s="425"/>
      <c r="AH17" s="137">
        <f>SUM(AH9:AH16)</f>
        <v>29220.269999999997</v>
      </c>
      <c r="AI17" s="410"/>
      <c r="AJ17" s="3"/>
      <c r="AK17" s="5"/>
      <c r="AL17" s="5"/>
      <c r="AM17" s="5"/>
      <c r="AN17" s="5"/>
      <c r="AO17" s="5"/>
      <c r="AP17" s="245" t="s">
        <v>455</v>
      </c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119" t="s">
        <v>99</v>
      </c>
      <c r="BF17" s="5"/>
      <c r="BG17" s="5"/>
      <c r="BH17" s="5"/>
      <c r="BO17" s="1" t="b">
        <v>1</v>
      </c>
    </row>
    <row r="18" spans="2:70" ht="25.05" customHeight="1" thickBot="1" x14ac:dyDescent="0.35">
      <c r="B18" s="73" t="s">
        <v>118</v>
      </c>
      <c r="C18" s="15" t="s">
        <v>13</v>
      </c>
      <c r="D18" s="96">
        <v>0</v>
      </c>
      <c r="E18" s="16">
        <f>K4-IF(E22=0,0,IF(C22=BE10,E22,IF(C22=BE11,E22+2,E22+3)))-IF(E21=0,0,IF(C21=BE10,E21,IF(C21=BE11,E21+2,E21+3)))-IF(E20=0,0,IF(C20=BE10,E20,IF(C20=BE11,E20+2,E20+3)))-IF(E19=0,0,IF(C19=BE10,E19,IF(C19=BE11,E19+2,E19+3)))-44-IF(C18=BE11,2,IF(C18=BE12,3,0))-E5*BJ6</f>
        <v>2468</v>
      </c>
      <c r="F18" s="74">
        <f>IF(C18=$BE$12,$K$5-63,IF(C18=$BE$11,$K$5-62,$K$5-60))</f>
        <v>352</v>
      </c>
      <c r="G18" s="75">
        <f>IF(E8=BE17,2,$E$9)</f>
        <v>6</v>
      </c>
      <c r="H18" s="76">
        <f>E18*F18*D18*G18/1000000</f>
        <v>0</v>
      </c>
      <c r="J18" s="359"/>
      <c r="K18" s="345"/>
      <c r="L18" s="345"/>
      <c r="M18" s="345"/>
      <c r="N18" s="345"/>
      <c r="O18" s="50"/>
      <c r="P18" s="345"/>
      <c r="Q18" s="345"/>
      <c r="R18" s="316"/>
      <c r="S18" s="345"/>
      <c r="T18" s="345"/>
      <c r="U18" s="345"/>
      <c r="V18" s="345"/>
      <c r="W18" s="345"/>
      <c r="X18" s="345"/>
      <c r="Y18" s="345"/>
      <c r="Z18" s="345"/>
      <c r="AA18" s="345"/>
      <c r="AB18" s="345"/>
      <c r="AC18" s="345"/>
      <c r="AD18" s="345"/>
      <c r="AE18" s="345"/>
      <c r="AF18" s="345"/>
      <c r="AG18" s="345"/>
      <c r="AH18" s="287"/>
      <c r="AI18" s="3"/>
      <c r="AJ18" s="55">
        <f>IF(E6=BH6,AJ9+AJ13+AJ14+AJ16+AJ17,AJ9+AJ13+AJ14+AJ15+AJ17)</f>
        <v>22.548966</v>
      </c>
      <c r="AK18" s="144" t="s">
        <v>274</v>
      </c>
      <c r="AL18" s="144"/>
      <c r="AM18" s="144"/>
      <c r="AN18" s="189">
        <v>5000</v>
      </c>
      <c r="AO18" s="189"/>
      <c r="AP18" s="189"/>
      <c r="AQ18" s="189"/>
      <c r="AR18" s="189"/>
      <c r="AS18" s="189"/>
      <c r="AT18" s="189"/>
      <c r="AU18" s="189"/>
      <c r="AV18" s="189"/>
      <c r="AW18" s="189"/>
      <c r="AX18" s="190"/>
      <c r="AY18" s="190"/>
      <c r="AZ18" s="190"/>
      <c r="BA18" s="190"/>
      <c r="BB18" s="190"/>
      <c r="BC18" s="190"/>
      <c r="BD18" s="5"/>
      <c r="BE18" s="120" t="s">
        <v>97</v>
      </c>
      <c r="BF18" s="5"/>
      <c r="BG18" s="5"/>
      <c r="BH18" s="5"/>
      <c r="BI18" s="309">
        <f>IF(E18&lt;&gt;0,1,0)</f>
        <v>1</v>
      </c>
      <c r="BO18" s="1"/>
    </row>
    <row r="19" spans="2:70" ht="25.05" customHeight="1" thickBot="1" x14ac:dyDescent="0.35">
      <c r="B19" s="73" t="s">
        <v>119</v>
      </c>
      <c r="C19" s="15" t="s">
        <v>11</v>
      </c>
      <c r="D19" s="96">
        <v>0</v>
      </c>
      <c r="E19" s="17">
        <v>0</v>
      </c>
      <c r="F19" s="74">
        <f>IF(C19=$BE$12,$K$5-63,IF(C19=$BE$11,$K$5-62,$K$5-60))</f>
        <v>355</v>
      </c>
      <c r="G19" s="75">
        <f>IF(E19=0,0,IF($E$8=$BE$17,2,$E$9))</f>
        <v>0</v>
      </c>
      <c r="H19" s="76">
        <f t="shared" ref="H19:H22" si="14">E19*F19*D19*G19/1000000</f>
        <v>0</v>
      </c>
      <c r="J19" s="112"/>
      <c r="K19" s="9"/>
      <c r="L19" s="9"/>
      <c r="M19" s="5"/>
      <c r="N19" s="5"/>
      <c r="O19" s="122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6"/>
      <c r="AJ19" s="296">
        <f>IF(E8=BE17,AJ18/2,AJ18/E9)</f>
        <v>3.7581609999999999</v>
      </c>
      <c r="AK19" s="144" t="s">
        <v>275</v>
      </c>
      <c r="AL19" s="144"/>
      <c r="AM19" s="144"/>
      <c r="AN19" s="144">
        <v>5075</v>
      </c>
      <c r="AO19" s="189"/>
      <c r="AP19" s="144"/>
      <c r="AQ19" s="144"/>
      <c r="AR19" s="144"/>
      <c r="AS19" s="144"/>
      <c r="AT19" s="144"/>
      <c r="AU19" s="144"/>
      <c r="AV19" s="144"/>
      <c r="AW19" s="144"/>
      <c r="AX19" s="190"/>
      <c r="AY19" s="190"/>
      <c r="AZ19" s="190"/>
      <c r="BA19" s="190"/>
      <c r="BB19" s="190"/>
      <c r="BC19" s="190"/>
      <c r="BD19" s="5"/>
      <c r="BE19" s="5"/>
      <c r="BF19" s="5"/>
      <c r="BG19" s="5"/>
      <c r="BH19" s="5"/>
      <c r="BI19" s="309">
        <f>IF(E19&lt;&gt;0,1,0)</f>
        <v>0</v>
      </c>
      <c r="BO19" s="1" t="b">
        <v>1</v>
      </c>
    </row>
    <row r="20" spans="2:70" ht="25.05" customHeight="1" x14ac:dyDescent="0.3">
      <c r="B20" s="73" t="s">
        <v>120</v>
      </c>
      <c r="C20" s="15" t="s">
        <v>11</v>
      </c>
      <c r="D20" s="96">
        <v>0</v>
      </c>
      <c r="E20" s="17">
        <v>0</v>
      </c>
      <c r="F20" s="74">
        <f>IF(C20=$BE$12,$K$5-63,IF(C20=$BE$11,$K$5-62,$K$5-60))</f>
        <v>355</v>
      </c>
      <c r="G20" s="75">
        <f>IF(E20=0,0,IF($E$8=$BE$17,2,$E$9))</f>
        <v>0</v>
      </c>
      <c r="H20" s="76">
        <f t="shared" si="14"/>
        <v>0</v>
      </c>
      <c r="J20" s="123"/>
      <c r="K20" s="19"/>
      <c r="L20" s="18"/>
      <c r="M20" s="5"/>
      <c r="N20" s="5"/>
      <c r="O20" s="113"/>
      <c r="P20" s="18"/>
      <c r="Q20" s="18"/>
      <c r="R20" s="288"/>
      <c r="S20" s="18"/>
      <c r="T20" s="396"/>
      <c r="U20" s="426" t="s">
        <v>106</v>
      </c>
      <c r="V20" s="426"/>
      <c r="W20" s="426"/>
      <c r="X20" s="426"/>
      <c r="Y20" s="426"/>
      <c r="Z20" s="426"/>
      <c r="AA20" s="426"/>
      <c r="AB20" s="426"/>
      <c r="AC20" s="426"/>
      <c r="AD20" s="426"/>
      <c r="AE20" s="426"/>
      <c r="AF20" s="426"/>
      <c r="AG20" s="426"/>
      <c r="AH20" s="427"/>
      <c r="AI20" s="5"/>
      <c r="AJ20" s="5"/>
      <c r="AK20" s="189" t="s">
        <v>276</v>
      </c>
      <c r="AL20" s="189"/>
      <c r="AM20" s="189"/>
      <c r="AN20" s="144">
        <v>5400</v>
      </c>
      <c r="AO20" s="189"/>
      <c r="AP20" s="144"/>
      <c r="AQ20" s="144"/>
      <c r="AR20" s="144"/>
      <c r="AS20" s="144"/>
      <c r="AT20" s="144"/>
      <c r="AU20" s="144"/>
      <c r="AV20" s="144"/>
      <c r="AW20" s="144"/>
      <c r="AX20" s="190"/>
      <c r="AY20" s="190"/>
      <c r="AZ20" s="190"/>
      <c r="BA20" s="190"/>
      <c r="BB20" s="190"/>
      <c r="BC20" s="190"/>
      <c r="BD20" s="5"/>
      <c r="BF20" s="5"/>
      <c r="BG20" s="5"/>
      <c r="BH20" s="5"/>
      <c r="BI20" s="309">
        <f>IF(E20&lt;&gt;0,1,0)</f>
        <v>0</v>
      </c>
    </row>
    <row r="21" spans="2:70" ht="25.05" customHeight="1" thickBot="1" x14ac:dyDescent="0.35">
      <c r="B21" s="73" t="s">
        <v>121</v>
      </c>
      <c r="C21" s="15" t="s">
        <v>13</v>
      </c>
      <c r="D21" s="96">
        <v>0</v>
      </c>
      <c r="E21" s="17">
        <v>0</v>
      </c>
      <c r="F21" s="74">
        <f>IF(C21=$BE$12,$K$5-63,IF(C21=$BE$11,$K$5-62,$K$5-60))</f>
        <v>352</v>
      </c>
      <c r="G21" s="75">
        <f>IF(E21=0,0,IF($E$8=$BE$17,2,$E$9))</f>
        <v>0</v>
      </c>
      <c r="H21" s="76">
        <f t="shared" si="14"/>
        <v>0</v>
      </c>
      <c r="J21" s="508" t="s">
        <v>187</v>
      </c>
      <c r="K21" s="473"/>
      <c r="L21" s="473"/>
      <c r="M21" s="345"/>
      <c r="N21" s="5"/>
      <c r="O21" s="113"/>
      <c r="P21" s="18"/>
      <c r="Q21" s="18"/>
      <c r="R21" s="288"/>
      <c r="S21" s="18"/>
      <c r="T21" s="333"/>
      <c r="U21" s="97">
        <v>1000</v>
      </c>
      <c r="V21" s="97">
        <v>1250</v>
      </c>
      <c r="W21" s="97">
        <v>1800</v>
      </c>
      <c r="X21" s="97">
        <v>2000</v>
      </c>
      <c r="Y21" s="97">
        <v>2500</v>
      </c>
      <c r="Z21" s="97">
        <v>2700</v>
      </c>
      <c r="AA21" s="97">
        <v>3000</v>
      </c>
      <c r="AB21" s="97">
        <v>3600</v>
      </c>
      <c r="AC21" s="97">
        <v>3750</v>
      </c>
      <c r="AD21" s="97">
        <v>4000</v>
      </c>
      <c r="AE21" s="97">
        <v>5000</v>
      </c>
      <c r="AF21" s="97">
        <v>5400</v>
      </c>
      <c r="AG21" s="209" t="s">
        <v>107</v>
      </c>
      <c r="AH21" s="53" t="s">
        <v>25</v>
      </c>
      <c r="AI21" s="5"/>
      <c r="AJ21" s="5"/>
      <c r="AK21" s="97">
        <v>1000</v>
      </c>
      <c r="AL21" s="97">
        <v>1250</v>
      </c>
      <c r="AM21" s="97">
        <v>1800</v>
      </c>
      <c r="AN21" s="97">
        <v>2000</v>
      </c>
      <c r="AO21" s="97">
        <v>2500</v>
      </c>
      <c r="AP21" s="97">
        <v>2700</v>
      </c>
      <c r="AQ21" s="97">
        <v>3000</v>
      </c>
      <c r="AR21" s="97">
        <v>3600</v>
      </c>
      <c r="AS21" s="97">
        <v>3750</v>
      </c>
      <c r="AT21" s="97">
        <v>4000</v>
      </c>
      <c r="AU21" s="97">
        <v>5000</v>
      </c>
      <c r="AV21" s="145">
        <v>5400</v>
      </c>
      <c r="AW21" s="191"/>
      <c r="AX21" s="190"/>
      <c r="AY21" s="190"/>
      <c r="AZ21" s="190"/>
      <c r="BA21" s="190"/>
      <c r="BB21" s="190"/>
      <c r="BC21" s="190"/>
      <c r="BD21" s="5"/>
      <c r="BF21" s="5"/>
      <c r="BG21" s="5"/>
      <c r="BH21" s="5"/>
      <c r="BI21" s="309">
        <f>IF(E21&lt;&gt;0,1,0)</f>
        <v>0</v>
      </c>
      <c r="BR21" s="1" t="s">
        <v>449</v>
      </c>
    </row>
    <row r="22" spans="2:70" ht="25.05" customHeight="1" thickBot="1" x14ac:dyDescent="0.35">
      <c r="B22" s="81" t="s">
        <v>122</v>
      </c>
      <c r="C22" s="15" t="s">
        <v>13</v>
      </c>
      <c r="D22" s="96">
        <v>0</v>
      </c>
      <c r="E22" s="17">
        <v>0</v>
      </c>
      <c r="F22" s="74">
        <f>IF(C22=$BE$12,$K$5-63,IF(C22=$BE$11,$K$5-62,$K$5-60))</f>
        <v>352</v>
      </c>
      <c r="G22" s="75">
        <f>IF(E22=0,0,IF($E$8=$BE$17,2,$E$9))</f>
        <v>0</v>
      </c>
      <c r="H22" s="76">
        <f t="shared" si="14"/>
        <v>0</v>
      </c>
      <c r="J22" s="468" t="s">
        <v>0</v>
      </c>
      <c r="K22" s="469"/>
      <c r="L22" s="469"/>
      <c r="M22" s="469"/>
      <c r="N22" s="341" t="s">
        <v>1</v>
      </c>
      <c r="O22" s="243" t="s">
        <v>9</v>
      </c>
      <c r="P22" s="143"/>
      <c r="Q22" s="143"/>
      <c r="R22" s="265" t="s">
        <v>25</v>
      </c>
      <c r="S22" s="143"/>
      <c r="T22" s="328" t="str">
        <f>J9</f>
        <v>вертикальный профиль</v>
      </c>
      <c r="U22" s="126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126"/>
      <c r="AG22" s="126"/>
      <c r="AH22" s="363">
        <f>R9</f>
        <v>26321.879999999997</v>
      </c>
      <c r="AI22" s="5"/>
      <c r="AJ22" s="5"/>
      <c r="AK22" s="144"/>
      <c r="AL22" s="144"/>
      <c r="AM22" s="144"/>
      <c r="AN22" s="144"/>
      <c r="AO22" s="144"/>
      <c r="AP22" s="144"/>
      <c r="AQ22" s="144"/>
      <c r="AR22" s="144"/>
      <c r="AS22" s="144"/>
      <c r="AT22" s="144"/>
      <c r="AU22" s="144"/>
      <c r="AV22" s="144"/>
      <c r="AW22" s="144"/>
      <c r="AX22" s="192"/>
      <c r="AY22" s="192"/>
      <c r="AZ22" s="192"/>
      <c r="BA22" s="192"/>
      <c r="BB22" s="192"/>
      <c r="BC22" s="192"/>
      <c r="BD22" s="5"/>
      <c r="BF22" s="5"/>
      <c r="BG22" s="5"/>
      <c r="BH22" s="5"/>
      <c r="BI22" s="309">
        <f>IF(E22&lt;&gt;0,1,0)</f>
        <v>0</v>
      </c>
      <c r="BR22" s="1" t="s">
        <v>454</v>
      </c>
    </row>
    <row r="23" spans="2:70" ht="25.05" customHeight="1" thickBot="1" x14ac:dyDescent="0.35">
      <c r="B23" s="67"/>
      <c r="C23" s="68"/>
      <c r="D23" s="68"/>
      <c r="E23" s="433" t="s">
        <v>85</v>
      </c>
      <c r="F23" s="433"/>
      <c r="G23" s="434"/>
      <c r="H23" s="339">
        <f>SUM(H18:H22)</f>
        <v>0</v>
      </c>
      <c r="J23" s="519" t="s">
        <v>60</v>
      </c>
      <c r="K23" s="520"/>
      <c r="L23" s="520"/>
      <c r="M23" s="520"/>
      <c r="N23" s="242" t="s">
        <v>203</v>
      </c>
      <c r="O23" s="235">
        <f>CEILING(IF(OR(E8=BE15,E8=BE16),0.5*E9,IF(E8=BE17,1,E9)),1)</f>
        <v>6</v>
      </c>
      <c r="P23" s="254"/>
      <c r="Q23" s="254"/>
      <c r="R23" s="294">
        <f>O23*Цены!I110</f>
        <v>14993.82</v>
      </c>
      <c r="S23" s="280"/>
      <c r="T23" s="541" t="str">
        <f>J10</f>
        <v>направляющая верхняя</v>
      </c>
      <c r="U23" s="530">
        <f>AK23</f>
        <v>0</v>
      </c>
      <c r="V23" s="530">
        <f t="shared" ref="V23:AF23" si="15">AL23</f>
        <v>0</v>
      </c>
      <c r="W23" s="530">
        <f t="shared" si="15"/>
        <v>0</v>
      </c>
      <c r="X23" s="530">
        <f t="shared" si="15"/>
        <v>0</v>
      </c>
      <c r="Y23" s="530">
        <f t="shared" si="15"/>
        <v>0</v>
      </c>
      <c r="Z23" s="530">
        <f t="shared" si="15"/>
        <v>0</v>
      </c>
      <c r="AA23" s="530">
        <f t="shared" si="15"/>
        <v>0</v>
      </c>
      <c r="AB23" s="530">
        <f t="shared" si="15"/>
        <v>0</v>
      </c>
      <c r="AC23" s="530">
        <f t="shared" si="15"/>
        <v>0</v>
      </c>
      <c r="AD23" s="530">
        <f t="shared" si="15"/>
        <v>0</v>
      </c>
      <c r="AE23" s="530">
        <f t="shared" si="15"/>
        <v>0</v>
      </c>
      <c r="AF23" s="530">
        <f t="shared" si="15"/>
        <v>0</v>
      </c>
      <c r="AG23" s="474">
        <f>Y23*Y21+AE23*AE21</f>
        <v>0</v>
      </c>
      <c r="AH23" s="531">
        <f>IF(OR(E20=BE65,E20=BE71,E20=BE68),Y23*Цены!I38*0.5+AE23*Цены!I38,Y23*Цены!I37*0.5+AE23*Цены!I37)</f>
        <v>0</v>
      </c>
      <c r="AI23" s="5"/>
      <c r="AJ23" s="55" t="s">
        <v>282</v>
      </c>
      <c r="AK23" s="201"/>
      <c r="AL23" s="201"/>
      <c r="AM23" s="201"/>
      <c r="AN23" s="201"/>
      <c r="AO23" s="202">
        <f>IF(AND(AW23&gt;0,AW23&lt;=2500),1,0)</f>
        <v>0</v>
      </c>
      <c r="AP23" s="201"/>
      <c r="AQ23" s="201"/>
      <c r="AR23" s="201"/>
      <c r="AS23" s="201"/>
      <c r="AT23" s="201"/>
      <c r="AU23" s="202">
        <f>IF(AND(AW23&gt;2500,AW23&lt;=5000),AX23+1,AX23)</f>
        <v>0</v>
      </c>
      <c r="AV23" s="201"/>
      <c r="AW23" s="203">
        <f>AW10</f>
        <v>0</v>
      </c>
      <c r="AX23" s="203">
        <f>AX10</f>
        <v>0</v>
      </c>
      <c r="AY23" s="144"/>
      <c r="AZ23" s="144"/>
      <c r="BA23" s="144"/>
      <c r="BB23" s="144"/>
      <c r="BC23" s="144"/>
      <c r="BD23" s="5"/>
      <c r="BF23" s="5"/>
      <c r="BG23" s="5"/>
      <c r="BH23" s="5"/>
      <c r="BR23" s="1" t="s">
        <v>451</v>
      </c>
    </row>
    <row r="24" spans="2:70" ht="25.05" customHeight="1" x14ac:dyDescent="0.3">
      <c r="B24" s="67"/>
      <c r="C24" s="547" t="str">
        <f>IF((SUM(BI18:BI22)/C14)&lt;&gt;1,BE45,BE46)</f>
        <v>Верно внесены высоты вставок</v>
      </c>
      <c r="D24" s="548"/>
      <c r="E24" s="358">
        <f>IF(C24=BE46,1,0)</f>
        <v>1</v>
      </c>
      <c r="F24" s="358"/>
      <c r="G24" s="358"/>
      <c r="H24" s="69"/>
      <c r="J24" s="417" t="s">
        <v>237</v>
      </c>
      <c r="K24" s="418"/>
      <c r="L24" s="418"/>
      <c r="M24" s="418"/>
      <c r="N24" s="239" t="s">
        <v>204</v>
      </c>
      <c r="O24" s="235">
        <f>M13*2+M14*2+M15*2</f>
        <v>24</v>
      </c>
      <c r="P24" s="254"/>
      <c r="Q24" s="254"/>
      <c r="R24" s="294">
        <f>O24*Цены!I163</f>
        <v>179.52</v>
      </c>
      <c r="S24" s="280"/>
      <c r="T24" s="541"/>
      <c r="U24" s="530"/>
      <c r="V24" s="530"/>
      <c r="W24" s="530"/>
      <c r="X24" s="530"/>
      <c r="Y24" s="530"/>
      <c r="Z24" s="530"/>
      <c r="AA24" s="530"/>
      <c r="AB24" s="530"/>
      <c r="AC24" s="530"/>
      <c r="AD24" s="530"/>
      <c r="AE24" s="530"/>
      <c r="AF24" s="530"/>
      <c r="AG24" s="474"/>
      <c r="AH24" s="531"/>
      <c r="AI24" s="5"/>
      <c r="AJ24" s="149">
        <f>IF(C18=$BE$10,(F18*E18/1000000)*8,IF(C18=$BE$11,(F18*E18/1000000)*6.5,(F18*E18/1000000)*11))</f>
        <v>9.5560960000000001</v>
      </c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203"/>
      <c r="AX24" s="203"/>
      <c r="AY24" s="200"/>
      <c r="AZ24" s="144"/>
      <c r="BA24" s="192"/>
      <c r="BB24" s="192"/>
      <c r="BC24" s="192"/>
      <c r="BD24" s="5"/>
      <c r="BE24" s="1" t="s">
        <v>86</v>
      </c>
      <c r="BF24" s="5"/>
      <c r="BG24" s="5"/>
      <c r="BH24" s="5"/>
      <c r="BR24" s="1" t="s">
        <v>452</v>
      </c>
    </row>
    <row r="25" spans="2:70" ht="25.05" customHeight="1" x14ac:dyDescent="0.3">
      <c r="B25" s="67"/>
      <c r="C25" s="68"/>
      <c r="D25" s="68"/>
      <c r="E25" s="68"/>
      <c r="F25" s="68"/>
      <c r="G25" s="68"/>
      <c r="H25" s="69"/>
      <c r="J25" s="519" t="s">
        <v>88</v>
      </c>
      <c r="K25" s="520"/>
      <c r="L25" s="520"/>
      <c r="M25" s="520"/>
      <c r="N25" s="240" t="s">
        <v>273</v>
      </c>
      <c r="O25" s="237">
        <f>ROUNDUP((IF(C18=BE11,(E18+F18)*2*G18,0)+IF(C19=BE11,(E19+F19)*2*G19,0)+IF(C20=BE11,(E20+F20)*2*G20,0)+IF(C21=BE11,(E21+F21)*2*G21,0)+IF(C22=BE11,(E22+F22)*2*G22,0))/1000,0)</f>
        <v>0</v>
      </c>
      <c r="P25" s="256"/>
      <c r="Q25" s="256"/>
      <c r="R25" s="294">
        <f>O25*Цены!I156</f>
        <v>0</v>
      </c>
      <c r="S25" s="280"/>
      <c r="T25" s="328" t="str">
        <f>J12</f>
        <v>накладка декоративная</v>
      </c>
      <c r="U25" s="362">
        <f>AK25</f>
        <v>0</v>
      </c>
      <c r="V25" s="362">
        <f t="shared" ref="V25:AF25" si="16">AL25</f>
        <v>0</v>
      </c>
      <c r="W25" s="362">
        <f t="shared" si="16"/>
        <v>0</v>
      </c>
      <c r="X25" s="362">
        <f t="shared" si="16"/>
        <v>0</v>
      </c>
      <c r="Y25" s="362">
        <f t="shared" si="16"/>
        <v>0</v>
      </c>
      <c r="Z25" s="362">
        <f t="shared" si="16"/>
        <v>0</v>
      </c>
      <c r="AA25" s="362">
        <f t="shared" si="16"/>
        <v>0</v>
      </c>
      <c r="AB25" s="362">
        <f t="shared" si="16"/>
        <v>0</v>
      </c>
      <c r="AC25" s="362">
        <f t="shared" si="16"/>
        <v>0</v>
      </c>
      <c r="AD25" s="362">
        <f t="shared" si="16"/>
        <v>0</v>
      </c>
      <c r="AE25" s="362">
        <f t="shared" si="16"/>
        <v>0</v>
      </c>
      <c r="AF25" s="362">
        <f t="shared" si="16"/>
        <v>0</v>
      </c>
      <c r="AG25" s="364">
        <f>Y25*Y21+AE25*AE21</f>
        <v>0</v>
      </c>
      <c r="AH25" s="347">
        <f>IF($E$7=$BE$51,(Y25*0.5+AE25)*Цены!$I$16,
IF($E$7=$BE$52,(Y25*0.5+AE25)*Цены!$I$17,
IF($E$7=$BE$53,(Y25*0.5+AE25)*Цены!$I$18,
IF($E$7=BE67,(Y25*0.5+AE25)*Цены!$I$19,
(Y25*0.5+AE25)*Цены!$I$22))))</f>
        <v>0</v>
      </c>
      <c r="AI25" s="5"/>
      <c r="AJ25" s="149">
        <f>IF(C19=$BE$10,(F19*E19/1000000)*8,IF(C19=$BE$11,(F19*E19/1000000)*6.5,(F19*E19/1000000)*11))</f>
        <v>0</v>
      </c>
      <c r="AK25" s="204"/>
      <c r="AL25" s="204"/>
      <c r="AM25" s="204"/>
      <c r="AN25" s="204"/>
      <c r="AO25" s="205">
        <f>IF(AND(AW25&gt;0,AW25&lt;=2500),1,0)</f>
        <v>0</v>
      </c>
      <c r="AP25" s="204"/>
      <c r="AQ25" s="204"/>
      <c r="AR25" s="204"/>
      <c r="AS25" s="204"/>
      <c r="AT25" s="204"/>
      <c r="AU25" s="205">
        <f>IF(AND(AW25&gt;2500,AW25&lt;=5000),AX25+1,AX25)</f>
        <v>0</v>
      </c>
      <c r="AV25" s="204"/>
      <c r="AW25" s="203">
        <f t="shared" ref="AW25:AX25" si="17">AW12</f>
        <v>0</v>
      </c>
      <c r="AX25" s="203">
        <f t="shared" si="17"/>
        <v>0</v>
      </c>
      <c r="AY25" s="144"/>
      <c r="AZ25" s="144"/>
      <c r="BA25" s="192"/>
      <c r="BB25" s="192"/>
      <c r="BC25" s="192"/>
      <c r="BD25" s="5"/>
      <c r="BE25" s="84" t="s">
        <v>165</v>
      </c>
      <c r="BF25" s="5"/>
      <c r="BG25" s="5"/>
      <c r="BH25" s="5"/>
      <c r="BR25" s="1" t="s">
        <v>453</v>
      </c>
    </row>
    <row r="26" spans="2:70" ht="25.05" customHeight="1" x14ac:dyDescent="0.3">
      <c r="B26" s="67"/>
      <c r="C26" s="85"/>
      <c r="D26" s="85"/>
      <c r="E26" s="86"/>
      <c r="F26" s="86"/>
      <c r="G26" s="86"/>
      <c r="H26" s="69"/>
      <c r="J26" s="419" t="s">
        <v>90</v>
      </c>
      <c r="K26" s="420"/>
      <c r="L26" s="420"/>
      <c r="M26" s="420"/>
      <c r="N26" s="240" t="s">
        <v>205</v>
      </c>
      <c r="O26" s="237">
        <f>ROUNDUP((IF(C18=BE12,(E18+F18)*2*G18,0)+IF(C19=BE12,(E19+F19)*2*G19,0)+IF(C20=BE12,(E20+F20)*2*G20,0)+IF(C21=BE12,(E21+F21)*2*G21,0)+IF(C22=BE12,(E22+F22)*2*G22,0))/1000,0)</f>
        <v>34</v>
      </c>
      <c r="P26" s="256"/>
      <c r="Q26" s="256"/>
      <c r="R26" s="293">
        <f>O26*Цены!I157</f>
        <v>1189.6600000000001</v>
      </c>
      <c r="S26" s="281"/>
      <c r="T26" s="328" t="str">
        <f t="shared" ref="T26:T29" si="18">J13</f>
        <v>рамка верхняя</v>
      </c>
      <c r="U26" s="362">
        <f t="shared" ref="U26:U29" si="19">AK26</f>
        <v>0</v>
      </c>
      <c r="V26" s="362">
        <f t="shared" ref="V26:V29" si="20">AL26</f>
        <v>0</v>
      </c>
      <c r="W26" s="362">
        <f t="shared" ref="W26:W29" si="21">AM26</f>
        <v>0</v>
      </c>
      <c r="X26" s="362">
        <f t="shared" ref="X26:X29" si="22">AN26</f>
        <v>0</v>
      </c>
      <c r="Y26" s="362">
        <f t="shared" ref="Y26:Y29" si="23">AO26</f>
        <v>1</v>
      </c>
      <c r="Z26" s="362">
        <f t="shared" ref="Z26:Z29" si="24">AP26</f>
        <v>0</v>
      </c>
      <c r="AA26" s="362">
        <f t="shared" ref="AA26:AA29" si="25">AQ26</f>
        <v>0</v>
      </c>
      <c r="AB26" s="362">
        <f t="shared" ref="AB26:AB29" si="26">AR26</f>
        <v>0</v>
      </c>
      <c r="AC26" s="362">
        <f t="shared" ref="AC26:AC29" si="27">AS26</f>
        <v>0</v>
      </c>
      <c r="AD26" s="362">
        <f t="shared" ref="AD26:AD29" si="28">AT26</f>
        <v>0</v>
      </c>
      <c r="AE26" s="362">
        <f t="shared" ref="AE26:AE29" si="29">AU26</f>
        <v>0</v>
      </c>
      <c r="AF26" s="362">
        <f t="shared" ref="AF26:AF29" si="30">AV26</f>
        <v>0</v>
      </c>
      <c r="AG26" s="364">
        <f>V26*$V$21+Y26*$Y$21+AC26*$AC$21+AE26*$AE$21</f>
        <v>2500</v>
      </c>
      <c r="AH26" s="347">
        <f>IF($E$7=$BE$51,(V26*0.25+Y26*0.5+AC26*0.75+AE26)*Цены!$I$29,
IF($E$7=$BE$52,(V26*0.25+Y26*0.5+AC26*0.75+AE26)*Цены!$I$30,
IF($E$7=$BE$53,(V26*0.25+Y26*0.5+AC26*0.75+AE26)*Цены!$I$31,
IF($E$7=$BE$54,(V26*0.25+Y26*0.5+AC26*0.75+AE26)*Цены!$I$32,
(V26*0.25+Y26*0.5+AC26*0.75+AE26)*Цены!$I$35))))</f>
        <v>1324.43</v>
      </c>
      <c r="AI26" s="5"/>
      <c r="AJ26" s="149">
        <f>IF(C20=$BE$10,(F20*E20/1000000)*8,IF(C20=$BE$11,(F20*E20/1000000)*6.5,(F20*E20/1000000)*11))</f>
        <v>0</v>
      </c>
      <c r="AK26" s="146"/>
      <c r="AL26" s="144">
        <f>IF(AND(AW26&gt;0,AW26&lt;=1250),1,0)</f>
        <v>0</v>
      </c>
      <c r="AM26" s="146"/>
      <c r="AN26" s="146"/>
      <c r="AO26" s="144">
        <f>IF(AND(AW26&gt;1250,AW26&lt;=2500),1,0)</f>
        <v>1</v>
      </c>
      <c r="AP26" s="146"/>
      <c r="AQ26" s="146"/>
      <c r="AR26" s="146"/>
      <c r="AS26" s="144">
        <f>IF(AND(AW26&gt;2500,AW26&lt;=3750),1,0)</f>
        <v>0</v>
      </c>
      <c r="AT26" s="146"/>
      <c r="AU26" s="144">
        <f>IF(AND(AW26&gt;4000,AW26&lt;=5000),AX26+1,AX26)</f>
        <v>0</v>
      </c>
      <c r="AV26" s="146"/>
      <c r="AW26" s="203">
        <f t="shared" ref="AW26:AX26" si="31">AW13</f>
        <v>2022</v>
      </c>
      <c r="AX26" s="203">
        <f t="shared" si="31"/>
        <v>0</v>
      </c>
      <c r="AY26" s="144"/>
      <c r="AZ26" s="144"/>
      <c r="BA26" s="192"/>
      <c r="BB26" s="192"/>
      <c r="BC26" s="192"/>
      <c r="BD26" s="5"/>
      <c r="BE26" s="84" t="s">
        <v>135</v>
      </c>
      <c r="BF26" s="5"/>
      <c r="BG26" s="5"/>
      <c r="BH26" s="5"/>
      <c r="BR26" s="1" t="s">
        <v>450</v>
      </c>
    </row>
    <row r="27" spans="2:70" ht="25.05" customHeight="1" x14ac:dyDescent="0.3">
      <c r="B27" s="67"/>
      <c r="C27" s="68"/>
      <c r="D27" s="68"/>
      <c r="E27" s="68"/>
      <c r="F27" s="68"/>
      <c r="G27" s="5"/>
      <c r="H27" s="11"/>
      <c r="J27" s="519" t="s">
        <v>86</v>
      </c>
      <c r="K27" s="520"/>
      <c r="L27" s="520"/>
      <c r="M27" s="520"/>
      <c r="N27" s="240" t="s">
        <v>206</v>
      </c>
      <c r="O27" s="235">
        <f>IF(E10=BE24,O24,0)</f>
        <v>0</v>
      </c>
      <c r="P27" s="254"/>
      <c r="Q27" s="254"/>
      <c r="R27" s="294">
        <f>O27*Цены!I150</f>
        <v>0</v>
      </c>
      <c r="S27" s="280"/>
      <c r="T27" s="328" t="str">
        <f t="shared" si="18"/>
        <v>рамка нижняя</v>
      </c>
      <c r="U27" s="362">
        <f t="shared" si="19"/>
        <v>0</v>
      </c>
      <c r="V27" s="362">
        <f t="shared" si="20"/>
        <v>0</v>
      </c>
      <c r="W27" s="362">
        <f t="shared" si="21"/>
        <v>0</v>
      </c>
      <c r="X27" s="362">
        <f t="shared" si="22"/>
        <v>0</v>
      </c>
      <c r="Y27" s="362">
        <f t="shared" si="23"/>
        <v>1</v>
      </c>
      <c r="Z27" s="362">
        <f t="shared" si="24"/>
        <v>0</v>
      </c>
      <c r="AA27" s="362">
        <f t="shared" si="25"/>
        <v>0</v>
      </c>
      <c r="AB27" s="362">
        <f t="shared" si="26"/>
        <v>0</v>
      </c>
      <c r="AC27" s="362">
        <f t="shared" si="27"/>
        <v>0</v>
      </c>
      <c r="AD27" s="362">
        <f t="shared" si="28"/>
        <v>0</v>
      </c>
      <c r="AE27" s="362">
        <f t="shared" si="29"/>
        <v>0</v>
      </c>
      <c r="AF27" s="362">
        <f t="shared" si="30"/>
        <v>0</v>
      </c>
      <c r="AG27" s="364">
        <f>V27*$V$21+Y27*$Y$21+AC27*$AC$21+AE27*$AE$21</f>
        <v>2500</v>
      </c>
      <c r="AH27" s="347">
        <f>IF($E$7=$BE$51,(V27*0.25+Y27*0.5+AC27*0.75+AE27)*Цены!$I$37,
IF($E$7=$BE$52,(V27*0.25+Y27*0.5+AC27*0.75+AE27)*Цены!$I$38,
IF($E$7=$BE$53,(V27*0.25+Y27*0.5+AC27*0.75+AE27)*Цены!$I$39,
IF($E$7=$BE$54,(V27*0.25+Y27*0.5+AC27*0.75+AE27)*Цены!$I$40,
(V27*0.25+Y27*0.5+AC27*0.75+AE27)*Цены!$I$43))))</f>
        <v>1090.895</v>
      </c>
      <c r="AI27" s="5"/>
      <c r="AJ27" s="149">
        <f>IF(C21=$BE$10,(F21*E21/1000000)*8,IF(C21=$BE$11,(F21*E21/1000000)*6.5,(F21*E21/1000000)*11))</f>
        <v>0</v>
      </c>
      <c r="AK27" s="146"/>
      <c r="AL27" s="144">
        <f t="shared" ref="AL27:AL28" si="32">IF(AND(AW27&gt;0,AW27&lt;=1250),1,0)</f>
        <v>0</v>
      </c>
      <c r="AM27" s="146"/>
      <c r="AN27" s="146"/>
      <c r="AO27" s="144">
        <f t="shared" ref="AO27:AO28" si="33">IF(AND(AW27&gt;1250,AW27&lt;=2500),1,0)</f>
        <v>1</v>
      </c>
      <c r="AP27" s="146"/>
      <c r="AQ27" s="146"/>
      <c r="AR27" s="146"/>
      <c r="AS27" s="144">
        <f t="shared" ref="AS27:AS28" si="34">IF(AND(AW27&gt;2500,AW27&lt;=3750),1,0)</f>
        <v>0</v>
      </c>
      <c r="AT27" s="146"/>
      <c r="AU27" s="144">
        <f>IF(AND(AW27&gt;4000,AW27&lt;=5000),AX27+1,AX27)</f>
        <v>0</v>
      </c>
      <c r="AV27" s="146"/>
      <c r="AW27" s="203">
        <f t="shared" ref="AW27:AX27" si="35">AW14</f>
        <v>2022</v>
      </c>
      <c r="AX27" s="203">
        <f t="shared" si="35"/>
        <v>0</v>
      </c>
      <c r="AY27" s="144"/>
      <c r="AZ27" s="144"/>
      <c r="BA27" s="192"/>
      <c r="BB27" s="192" t="s">
        <v>277</v>
      </c>
      <c r="BC27" s="193" t="s">
        <v>278</v>
      </c>
      <c r="BD27" s="5"/>
      <c r="BE27" s="1" t="s">
        <v>82</v>
      </c>
      <c r="BF27" s="5"/>
      <c r="BG27" s="5"/>
      <c r="BH27" s="5"/>
    </row>
    <row r="28" spans="2:70" ht="25.05" customHeight="1" thickBot="1" x14ac:dyDescent="0.35">
      <c r="B28" s="67"/>
      <c r="C28" s="506" t="str">
        <f>IF(AND(SUM(BI18:BI22)/C14=1,E22=0,C14&lt;&gt;1),BE49,BE50)</f>
        <v xml:space="preserve"> </v>
      </c>
      <c r="D28" s="506"/>
      <c r="E28" s="86"/>
      <c r="F28" s="86"/>
      <c r="G28" s="86"/>
      <c r="H28" s="11"/>
      <c r="J28" s="417" t="s">
        <v>172</v>
      </c>
      <c r="K28" s="418"/>
      <c r="L28" s="418"/>
      <c r="M28" s="418"/>
      <c r="N28" s="241" t="s">
        <v>207</v>
      </c>
      <c r="O28" s="374">
        <f>IF(E10=BE25,O24,0)</f>
        <v>0</v>
      </c>
      <c r="P28" s="253"/>
      <c r="Q28" s="253"/>
      <c r="R28" s="266">
        <f>O28*Цены!I111</f>
        <v>0</v>
      </c>
      <c r="S28" s="247"/>
      <c r="T28" s="328" t="str">
        <f t="shared" si="18"/>
        <v>рамка средняя 4в1</v>
      </c>
      <c r="U28" s="362">
        <f t="shared" si="19"/>
        <v>0</v>
      </c>
      <c r="V28" s="362">
        <f t="shared" si="20"/>
        <v>0</v>
      </c>
      <c r="W28" s="362">
        <f t="shared" si="21"/>
        <v>0</v>
      </c>
      <c r="X28" s="362">
        <f t="shared" si="22"/>
        <v>0</v>
      </c>
      <c r="Y28" s="362">
        <f t="shared" si="23"/>
        <v>0</v>
      </c>
      <c r="Z28" s="362">
        <f t="shared" si="24"/>
        <v>0</v>
      </c>
      <c r="AA28" s="362">
        <f t="shared" si="25"/>
        <v>0</v>
      </c>
      <c r="AB28" s="362">
        <f t="shared" si="26"/>
        <v>0</v>
      </c>
      <c r="AC28" s="362">
        <f t="shared" si="27"/>
        <v>0</v>
      </c>
      <c r="AD28" s="362">
        <f t="shared" si="28"/>
        <v>0</v>
      </c>
      <c r="AE28" s="362">
        <f t="shared" si="29"/>
        <v>0</v>
      </c>
      <c r="AF28" s="362">
        <f t="shared" si="30"/>
        <v>0</v>
      </c>
      <c r="AG28" s="364">
        <f>V28*V21+W28*W21+Y28*Y21+Z28*Z21+AB28*AB21+AC28*AC21+AE28*AE21+AF28*AF21</f>
        <v>0</v>
      </c>
      <c r="AH28" s="233">
        <f>IF(E19=BH19,BC28,BB28)</f>
        <v>0</v>
      </c>
      <c r="AI28" s="5"/>
      <c r="AJ28" s="149">
        <f>IF(C22=$BE$10,(F22*E22/1000000)*8,IF(C22=$BE$11,(F22*E22/1000000)*6.5,(F22*E22/1000000)*11))</f>
        <v>0</v>
      </c>
      <c r="AK28" s="146"/>
      <c r="AL28" s="194">
        <f t="shared" si="32"/>
        <v>0</v>
      </c>
      <c r="AM28" s="195">
        <f>IF(AND(J28=BH19,AZ28&gt;0,AZ28&lt;=1800),1,0)</f>
        <v>0</v>
      </c>
      <c r="AN28" s="146"/>
      <c r="AO28" s="194">
        <f t="shared" si="33"/>
        <v>0</v>
      </c>
      <c r="AP28" s="195">
        <f>IF(AND(J28=BH19,AZ28&gt;1800,AZ28&lt;=2700),1,0)</f>
        <v>0</v>
      </c>
      <c r="AQ28" s="146"/>
      <c r="AR28" s="195">
        <f>IF(AND(J28=BH19,AZ28&gt;2700,AZ28&lt;=3600),1,0)</f>
        <v>0</v>
      </c>
      <c r="AS28" s="194">
        <f t="shared" si="34"/>
        <v>0</v>
      </c>
      <c r="AT28" s="146"/>
      <c r="AU28" s="194">
        <f>IF(AND(J28=BH20,AW28&gt;4000,AW28&lt;=5000),AX28+1,AX28)</f>
        <v>0</v>
      </c>
      <c r="AV28" s="195">
        <f>IF(AND(J28=BH19,AZ28&gt;3600,AZ28&lt;=5400),BA28+1,BA28)</f>
        <v>0</v>
      </c>
      <c r="AW28" s="203">
        <f t="shared" ref="AW28:BA29" si="36">AW15</f>
        <v>0</v>
      </c>
      <c r="AX28" s="203">
        <f t="shared" si="36"/>
        <v>0</v>
      </c>
      <c r="AY28" s="203"/>
      <c r="AZ28" s="203">
        <f t="shared" si="36"/>
        <v>0</v>
      </c>
      <c r="BA28" s="203">
        <f t="shared" si="36"/>
        <v>0</v>
      </c>
      <c r="BB28" s="192">
        <f>IF(E20=BE64,(V28*0.25+Y28*0.5+AC28*0.75+AE28)*Цены!$I$45,
IF(E20=BE65,(V28*0.25+Y28*0.5+AC28*0.75+AE28)*Цены!$I$46,
IF(E20=BE66,(V28*0.25+Y28*0.5+AC28*0.75+AE28)*Цены!$I$47,
IF(E20=BE67,(V28*0.25+Y28*0.5+AC28*0.75+AE28)*Цены!$I$48,
(V28*0.25+Y28*0.5+AC28*0.75+AE28)*Цены!$I$51))))</f>
        <v>0</v>
      </c>
      <c r="BC28" s="192">
        <f>IF(E20=BE64,(W28*0.34+Z28*0.5+AB28*0.67+AF28)*Цены!$I$69,
IF(E20=BE65,(W28*0.34+Z28*0.5+AB28*0.67+AF28)*Цены!$I$70,
IF(E20=BE66,(W28*0.34+Z28*0.5+AB28*0.67+AF28)*Цены!$I$71,
IF(E20=BE67,(W28*0.34+Z28*0.5+AB28*0.67+AF28)*Цены!$I$71,
(W28*0.34+Z28*0.5+AB28*0.67+AF28)*Цены!$I$75))))</f>
        <v>0</v>
      </c>
      <c r="BD28" s="5"/>
      <c r="BE28" s="310"/>
      <c r="BF28" s="5"/>
      <c r="BG28" s="5"/>
      <c r="BH28" s="5"/>
    </row>
    <row r="29" spans="2:70" ht="25.05" customHeight="1" thickBot="1" x14ac:dyDescent="0.35">
      <c r="B29" s="67"/>
      <c r="C29" s="68"/>
      <c r="D29" s="68"/>
      <c r="E29" s="68"/>
      <c r="F29" s="68"/>
      <c r="G29" s="68"/>
      <c r="H29" s="11"/>
      <c r="J29" s="415" t="s">
        <v>82</v>
      </c>
      <c r="K29" s="416"/>
      <c r="L29" s="416"/>
      <c r="M29" s="416"/>
      <c r="N29" s="239" t="s">
        <v>208</v>
      </c>
      <c r="O29" s="238">
        <f>IF(E10=BE27,ROUNDUP(L9*M9/1000,0),0)</f>
        <v>0</v>
      </c>
      <c r="P29" s="257"/>
      <c r="Q29" s="257"/>
      <c r="R29" s="266">
        <f>O29*Цены!I140</f>
        <v>0</v>
      </c>
      <c r="S29" s="247"/>
      <c r="T29" s="328" t="str">
        <f t="shared" si="18"/>
        <v>профиль "П"</v>
      </c>
      <c r="U29" s="362">
        <f t="shared" si="19"/>
        <v>0</v>
      </c>
      <c r="V29" s="362">
        <f t="shared" si="20"/>
        <v>0</v>
      </c>
      <c r="W29" s="362">
        <f t="shared" si="21"/>
        <v>0</v>
      </c>
      <c r="X29" s="362">
        <f t="shared" si="22"/>
        <v>0</v>
      </c>
      <c r="Y29" s="362">
        <f t="shared" si="23"/>
        <v>0</v>
      </c>
      <c r="Z29" s="362">
        <f t="shared" si="24"/>
        <v>0</v>
      </c>
      <c r="AA29" s="362">
        <f t="shared" si="25"/>
        <v>0</v>
      </c>
      <c r="AB29" s="362">
        <f t="shared" si="26"/>
        <v>0</v>
      </c>
      <c r="AC29" s="362">
        <f t="shared" si="27"/>
        <v>0</v>
      </c>
      <c r="AD29" s="362">
        <f t="shared" si="28"/>
        <v>0</v>
      </c>
      <c r="AE29" s="362">
        <f t="shared" si="29"/>
        <v>0</v>
      </c>
      <c r="AF29" s="362">
        <f t="shared" si="30"/>
        <v>0</v>
      </c>
      <c r="AG29" s="364">
        <f>Z29*Z21+AF29*AF21</f>
        <v>0</v>
      </c>
      <c r="AH29" s="244">
        <f>Z29*Цены!I81*0.5+AF29*Цены!I81</f>
        <v>0</v>
      </c>
      <c r="AI29" s="5"/>
      <c r="AJ29" s="199">
        <f>SUM(AJ24:AJ28)</f>
        <v>9.5560960000000001</v>
      </c>
      <c r="AK29" s="196"/>
      <c r="AL29" s="196"/>
      <c r="AM29" s="196"/>
      <c r="AN29" s="196"/>
      <c r="AO29" s="196"/>
      <c r="AP29" s="144">
        <f>IF(AND(AZ29&gt;0,AZ29&lt;=2700),1,0)</f>
        <v>0</v>
      </c>
      <c r="AQ29" s="196"/>
      <c r="AR29" s="196"/>
      <c r="AS29" s="196"/>
      <c r="AT29" s="196"/>
      <c r="AU29" s="196"/>
      <c r="AV29" s="144">
        <f>IF(AND(AZ29&gt;2700,AZ29&lt;=5400),BA29+1,BA29)</f>
        <v>0</v>
      </c>
      <c r="AW29" s="189"/>
      <c r="AX29" s="144"/>
      <c r="AY29" s="189"/>
      <c r="AZ29" s="203">
        <f t="shared" si="36"/>
        <v>0</v>
      </c>
      <c r="BA29" s="203">
        <f t="shared" si="36"/>
        <v>0</v>
      </c>
      <c r="BB29" s="189"/>
      <c r="BC29" s="189"/>
      <c r="BD29" s="5"/>
      <c r="BE29" s="5"/>
      <c r="BF29" s="5"/>
      <c r="BG29" s="5"/>
      <c r="BH29" s="5"/>
    </row>
    <row r="30" spans="2:70" ht="25.05" customHeight="1" thickBot="1" x14ac:dyDescent="0.35">
      <c r="B30" s="67"/>
      <c r="C30" s="68"/>
      <c r="D30" s="68"/>
      <c r="E30" s="68"/>
      <c r="F30" s="68"/>
      <c r="G30" s="68"/>
      <c r="H30" s="11"/>
      <c r="J30" s="415" t="s">
        <v>135</v>
      </c>
      <c r="K30" s="416"/>
      <c r="L30" s="416"/>
      <c r="M30" s="416"/>
      <c r="N30" s="239" t="s">
        <v>209</v>
      </c>
      <c r="O30" s="238">
        <f>IF(E10=BE26,ROUNDUP(L9*M9/1000,0),0)</f>
        <v>31</v>
      </c>
      <c r="P30" s="257"/>
      <c r="Q30" s="257"/>
      <c r="R30" s="266">
        <f>O30*Цены!I159</f>
        <v>587.44999999999993</v>
      </c>
      <c r="S30" s="247"/>
      <c r="T30" s="402"/>
      <c r="U30" s="424" t="s">
        <v>109</v>
      </c>
      <c r="V30" s="424"/>
      <c r="W30" s="424"/>
      <c r="X30" s="424"/>
      <c r="Y30" s="424"/>
      <c r="Z30" s="424"/>
      <c r="AA30" s="424"/>
      <c r="AB30" s="424"/>
      <c r="AC30" s="424"/>
      <c r="AD30" s="424"/>
      <c r="AE30" s="424"/>
      <c r="AF30" s="424"/>
      <c r="AG30" s="425"/>
      <c r="AH30" s="137">
        <f>SUM(AH22:AH29)</f>
        <v>28737.204999999998</v>
      </c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49">
        <v>0</v>
      </c>
      <c r="BF30" s="5"/>
      <c r="BG30" s="5"/>
      <c r="BH30" s="5"/>
    </row>
    <row r="31" spans="2:70" ht="25.05" customHeight="1" thickBot="1" x14ac:dyDescent="0.4">
      <c r="B31" s="87"/>
      <c r="C31" s="88"/>
      <c r="D31" s="358"/>
      <c r="E31" s="358"/>
      <c r="F31" s="358"/>
      <c r="G31" s="358"/>
      <c r="H31" s="11"/>
      <c r="J31" s="415" t="s">
        <v>167</v>
      </c>
      <c r="K31" s="416"/>
      <c r="L31" s="416"/>
      <c r="M31" s="416"/>
      <c r="N31" s="301" t="s">
        <v>210</v>
      </c>
      <c r="O31" s="236">
        <f>IF(O30&gt;0,M9*2,0)</f>
        <v>24</v>
      </c>
      <c r="P31" s="255"/>
      <c r="Q31" s="255"/>
      <c r="R31" s="313">
        <f>O31*Цены!I155</f>
        <v>310.08</v>
      </c>
      <c r="S31" s="247"/>
      <c r="T31" s="247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284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49">
        <v>1</v>
      </c>
      <c r="BF31" s="5"/>
      <c r="BG31" s="5"/>
      <c r="BH31" s="5"/>
    </row>
    <row r="32" spans="2:70" ht="25.05" customHeight="1" thickBot="1" x14ac:dyDescent="0.35">
      <c r="B32" s="12"/>
      <c r="C32" s="6"/>
      <c r="D32" s="6"/>
      <c r="E32" s="6"/>
      <c r="F32" s="6"/>
      <c r="G32" s="6"/>
      <c r="H32" s="13"/>
      <c r="J32" s="111"/>
      <c r="K32" s="102"/>
      <c r="L32" s="6"/>
      <c r="M32" s="6"/>
      <c r="N32" s="6"/>
      <c r="O32" s="11"/>
      <c r="R32" s="295">
        <f>SUM(R23:R31)</f>
        <v>17260.530000000002</v>
      </c>
      <c r="S32" s="104"/>
      <c r="T32" s="104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284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49">
        <v>2</v>
      </c>
      <c r="BF32" s="5"/>
      <c r="BG32" s="5"/>
      <c r="BH32" s="5"/>
    </row>
    <row r="33" spans="2:60" ht="25.05" customHeight="1" thickBot="1" x14ac:dyDescent="0.4">
      <c r="B33" s="87"/>
      <c r="C33" s="88"/>
      <c r="D33" s="358"/>
      <c r="E33" s="358"/>
      <c r="F33" s="358"/>
      <c r="G33" s="349" t="s">
        <v>279</v>
      </c>
      <c r="H33" s="151">
        <f>ROUNDUP((AJ19+AJ29)*1.1,0)</f>
        <v>15</v>
      </c>
      <c r="J33" s="111"/>
      <c r="K33" s="102"/>
      <c r="L33" s="5"/>
      <c r="M33" s="5"/>
      <c r="N33" s="5"/>
      <c r="O33" s="11"/>
      <c r="Q33" s="491" t="s">
        <v>456</v>
      </c>
      <c r="R33" s="90"/>
      <c r="V33" s="338"/>
      <c r="W33" s="338"/>
      <c r="X33" s="338"/>
      <c r="Y33" s="338"/>
      <c r="Z33" s="338"/>
      <c r="AA33" s="338"/>
      <c r="AB33" s="338"/>
      <c r="AC33" s="525" t="s">
        <v>108</v>
      </c>
      <c r="AD33" s="525"/>
      <c r="AE33" s="525"/>
      <c r="AF33" s="525"/>
      <c r="AG33" s="525"/>
      <c r="AH33" s="267">
        <f>IF(Z3=BR21,AH17+R32+H23,AH30+R32+H23)</f>
        <v>46480.800000000003</v>
      </c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49">
        <v>3</v>
      </c>
      <c r="BF33" s="5"/>
      <c r="BG33" s="5"/>
      <c r="BH33" s="5"/>
    </row>
    <row r="34" spans="2:60" ht="25.05" customHeight="1" thickBot="1" x14ac:dyDescent="0.4">
      <c r="B34" s="92"/>
      <c r="C34" s="93"/>
      <c r="D34" s="94"/>
      <c r="E34" s="94"/>
      <c r="F34" s="94"/>
      <c r="G34" s="94"/>
      <c r="H34" s="95"/>
      <c r="J34" s="114"/>
      <c r="K34" s="282"/>
      <c r="L34" s="282"/>
      <c r="M34" s="282"/>
      <c r="N34" s="282"/>
      <c r="O34" s="141"/>
      <c r="Q34" s="491"/>
      <c r="R34" s="289">
        <f>R17+R32+H23</f>
        <v>48413.06</v>
      </c>
      <c r="S34" s="279"/>
      <c r="T34" s="279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49">
        <v>4</v>
      </c>
      <c r="BF34" s="5"/>
      <c r="BG34" s="5"/>
      <c r="BH34" s="5"/>
    </row>
    <row r="35" spans="2:60" x14ac:dyDescent="0.3">
      <c r="R35" s="90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90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</row>
    <row r="36" spans="2:60" x14ac:dyDescent="0.3">
      <c r="R36" s="90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90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</row>
    <row r="37" spans="2:60" x14ac:dyDescent="0.3">
      <c r="R37" s="90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90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5" t="s">
        <v>186</v>
      </c>
      <c r="BF37" s="5"/>
      <c r="BG37" s="5"/>
      <c r="BH37" s="5"/>
    </row>
    <row r="38" spans="2:60" x14ac:dyDescent="0.3">
      <c r="BE38" s="55" t="s">
        <v>181</v>
      </c>
      <c r="BF38" s="5"/>
      <c r="BG38" s="5"/>
      <c r="BH38" s="5"/>
    </row>
    <row r="39" spans="2:60" x14ac:dyDescent="0.3">
      <c r="BF39" s="5"/>
      <c r="BG39" s="5"/>
      <c r="BH39" s="5"/>
    </row>
    <row r="40" spans="2:60" ht="15" customHeight="1" x14ac:dyDescent="0.3">
      <c r="BF40" s="5"/>
      <c r="BG40" s="5"/>
      <c r="BH40" s="5"/>
    </row>
    <row r="41" spans="2:60" ht="15" customHeight="1" x14ac:dyDescent="0.3">
      <c r="BE41" s="1" t="s">
        <v>184</v>
      </c>
      <c r="BF41" s="5"/>
      <c r="BG41" s="5"/>
      <c r="BH41" s="5"/>
    </row>
    <row r="42" spans="2:60" ht="15" customHeight="1" x14ac:dyDescent="0.3">
      <c r="BE42" s="55" t="s">
        <v>181</v>
      </c>
      <c r="BF42" s="5"/>
      <c r="BG42" s="5"/>
      <c r="BH42" s="5"/>
    </row>
    <row r="43" spans="2:60" x14ac:dyDescent="0.3"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5"/>
      <c r="BF43" s="5"/>
      <c r="BG43" s="5"/>
      <c r="BH43" s="5"/>
    </row>
    <row r="44" spans="2:60" x14ac:dyDescent="0.3"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5"/>
      <c r="BF44" s="5"/>
      <c r="BG44" s="5"/>
      <c r="BH44" s="5"/>
    </row>
    <row r="45" spans="2:60" ht="18" x14ac:dyDescent="0.3"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80" t="s">
        <v>124</v>
      </c>
      <c r="BF45" s="5"/>
      <c r="BG45" s="5"/>
      <c r="BH45" s="5"/>
    </row>
    <row r="46" spans="2:60" ht="18" x14ac:dyDescent="0.3"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80" t="s">
        <v>125</v>
      </c>
      <c r="BF46" s="5"/>
      <c r="BG46" s="5"/>
      <c r="BH46" s="5"/>
    </row>
    <row r="47" spans="2:60" x14ac:dyDescent="0.3"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5"/>
      <c r="BF47" s="5"/>
      <c r="BG47" s="5"/>
      <c r="BH47" s="5"/>
    </row>
    <row r="48" spans="2:60" x14ac:dyDescent="0.3"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5"/>
      <c r="BF48" s="5"/>
      <c r="BG48" s="5"/>
      <c r="BH48" s="5"/>
    </row>
    <row r="49" spans="36:60" s="55" customFormat="1" ht="18" x14ac:dyDescent="0.35"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91" t="s">
        <v>132</v>
      </c>
      <c r="BF49" s="5"/>
      <c r="BG49" s="5"/>
      <c r="BH49" s="5"/>
    </row>
    <row r="50" spans="36:60" s="55" customFormat="1" x14ac:dyDescent="0.3"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1" t="s">
        <v>100</v>
      </c>
      <c r="BF50" s="5"/>
      <c r="BG50" s="5"/>
      <c r="BH50" s="5"/>
    </row>
    <row r="51" spans="36:60" s="55" customFormat="1" x14ac:dyDescent="0.3">
      <c r="BE51" s="39" t="str">
        <f>Подвесная!BE50</f>
        <v>Серебро матовое</v>
      </c>
      <c r="BF51" s="5"/>
      <c r="BG51" s="5"/>
      <c r="BH51" s="5"/>
    </row>
    <row r="52" spans="36:60" s="55" customFormat="1" x14ac:dyDescent="0.3">
      <c r="BE52" s="39" t="str">
        <f>Подвесная!BE51</f>
        <v>Черный матовый</v>
      </c>
      <c r="BF52" s="5"/>
      <c r="BG52" s="5"/>
      <c r="BH52" s="5"/>
    </row>
    <row r="53" spans="36:60" s="55" customFormat="1" x14ac:dyDescent="0.3">
      <c r="BE53" s="39" t="str">
        <f>Подвесная!BE52</f>
        <v>Слоновая кость</v>
      </c>
      <c r="BF53" s="5"/>
      <c r="BG53" s="5"/>
      <c r="BH53" s="5"/>
    </row>
    <row r="54" spans="36:60" s="55" customFormat="1" x14ac:dyDescent="0.3">
      <c r="BE54" s="39" t="str">
        <f>Подвесная!BE53</f>
        <v>Белый матовый</v>
      </c>
    </row>
    <row r="55" spans="36:60" s="55" customFormat="1" x14ac:dyDescent="0.3">
      <c r="BE55" s="39" t="str">
        <f>Подвесная!BE54</f>
        <v xml:space="preserve">Венге темный </v>
      </c>
    </row>
    <row r="56" spans="36:60" s="55" customFormat="1" x14ac:dyDescent="0.3">
      <c r="BE56" s="39" t="str">
        <f>Подвесная!BE55</f>
        <v>Дуб белый</v>
      </c>
    </row>
    <row r="57" spans="36:60" s="55" customFormat="1" x14ac:dyDescent="0.3">
      <c r="BE57" s="39" t="str">
        <f>Подвесная!BE56</f>
        <v xml:space="preserve"> медь античная*</v>
      </c>
    </row>
    <row r="58" spans="36:60" s="55" customFormat="1" x14ac:dyDescent="0.3">
      <c r="BE58" s="39" t="str">
        <f>Подвесная!BE57</f>
        <v>сталь воронёная*</v>
      </c>
    </row>
  </sheetData>
  <sheetProtection algorithmName="SHA-512" hashValue="2EGCiGA0eFjrPuwOkv/KYLEt8TyOMmjhU43VOhHO6iLZWscCKCf8i56kFL0Ze6gzMRhcIalqsg8BwsC1sWAd4Q==" saltValue="rtxocAjjRkZ7Lv/ub5JrtQ==" spinCount="100000" sheet="1" selectLockedCells="1"/>
  <mergeCells count="76">
    <mergeCell ref="AF23:AF24"/>
    <mergeCell ref="AG23:AG24"/>
    <mergeCell ref="AH23:AH24"/>
    <mergeCell ref="U30:AG30"/>
    <mergeCell ref="AC33:AG33"/>
    <mergeCell ref="Z23:Z24"/>
    <mergeCell ref="AA23:AA24"/>
    <mergeCell ref="AB23:AB24"/>
    <mergeCell ref="C28:D28"/>
    <mergeCell ref="E23:G23"/>
    <mergeCell ref="J21:L21"/>
    <mergeCell ref="R10:R11"/>
    <mergeCell ref="U10:U11"/>
    <mergeCell ref="C24:D24"/>
    <mergeCell ref="B10:D10"/>
    <mergeCell ref="AE10:AE11"/>
    <mergeCell ref="U17:AG17"/>
    <mergeCell ref="O10:O11"/>
    <mergeCell ref="N10:N11"/>
    <mergeCell ref="AF10:AF11"/>
    <mergeCell ref="J29:M29"/>
    <mergeCell ref="T10:T11"/>
    <mergeCell ref="U20:AH20"/>
    <mergeCell ref="T23:T24"/>
    <mergeCell ref="U23:U24"/>
    <mergeCell ref="AA10:AA11"/>
    <mergeCell ref="AD10:AD11"/>
    <mergeCell ref="Y10:Y11"/>
    <mergeCell ref="Z10:Z11"/>
    <mergeCell ref="X10:X11"/>
    <mergeCell ref="W10:W11"/>
    <mergeCell ref="AB10:AB11"/>
    <mergeCell ref="V23:V24"/>
    <mergeCell ref="W23:W24"/>
    <mergeCell ref="X23:X24"/>
    <mergeCell ref="Y23:Y24"/>
    <mergeCell ref="B7:D7"/>
    <mergeCell ref="B8:D8"/>
    <mergeCell ref="B9:D9"/>
    <mergeCell ref="E3:H3"/>
    <mergeCell ref="E4:H4"/>
    <mergeCell ref="E5:H5"/>
    <mergeCell ref="E6:H6"/>
    <mergeCell ref="E7:H7"/>
    <mergeCell ref="J30:M30"/>
    <mergeCell ref="J31:M31"/>
    <mergeCell ref="Q33:Q34"/>
    <mergeCell ref="B1:H1"/>
    <mergeCell ref="J1:O1"/>
    <mergeCell ref="J22:M22"/>
    <mergeCell ref="J23:M23"/>
    <mergeCell ref="J24:M24"/>
    <mergeCell ref="N3:O3"/>
    <mergeCell ref="E8:H8"/>
    <mergeCell ref="E9:H9"/>
    <mergeCell ref="E10:H10"/>
    <mergeCell ref="B3:D3"/>
    <mergeCell ref="B4:D4"/>
    <mergeCell ref="B5:D5"/>
    <mergeCell ref="B6:D6"/>
    <mergeCell ref="U3:Y3"/>
    <mergeCell ref="Z3:AA3"/>
    <mergeCell ref="V10:V11"/>
    <mergeCell ref="AC10:AC11"/>
    <mergeCell ref="J28:M28"/>
    <mergeCell ref="J25:M25"/>
    <mergeCell ref="J26:M26"/>
    <mergeCell ref="J27:M27"/>
    <mergeCell ref="U7:AH7"/>
    <mergeCell ref="J7:M7"/>
    <mergeCell ref="J3:K3"/>
    <mergeCell ref="AH10:AH11"/>
    <mergeCell ref="AG10:AG11"/>
    <mergeCell ref="AC23:AC24"/>
    <mergeCell ref="AD23:AD24"/>
    <mergeCell ref="AE23:AE24"/>
  </mergeCells>
  <conditionalFormatting sqref="U10:AF10 U12:AF16 U11 W11:AB11 AD11:AF11">
    <cfRule type="cellIs" dxfId="27" priority="44" operator="equal">
      <formula>0</formula>
    </cfRule>
  </conditionalFormatting>
  <conditionalFormatting sqref="E10">
    <cfRule type="cellIs" dxfId="26" priority="37" operator="greaterThan">
      <formula>0</formula>
    </cfRule>
  </conditionalFormatting>
  <conditionalFormatting sqref="K4">
    <cfRule type="expression" dxfId="25" priority="66">
      <formula>$K$4&gt;3200</formula>
    </cfRule>
  </conditionalFormatting>
  <conditionalFormatting sqref="K5">
    <cfRule type="expression" dxfId="24" priority="30">
      <formula>OR($K$5&lt;200,$K$5&gt;1200)</formula>
    </cfRule>
  </conditionalFormatting>
  <conditionalFormatting sqref="E6">
    <cfRule type="cellIs" dxfId="23" priority="20" operator="greaterThan">
      <formula>0</formula>
    </cfRule>
  </conditionalFormatting>
  <conditionalFormatting sqref="E9">
    <cfRule type="expression" dxfId="22" priority="858">
      <formula>$E$8=$BE$17</formula>
    </cfRule>
  </conditionalFormatting>
  <conditionalFormatting sqref="AH33 R34:T34">
    <cfRule type="expression" dxfId="21" priority="891">
      <formula>$E$4=0</formula>
    </cfRule>
  </conditionalFormatting>
  <conditionalFormatting sqref="K20:L20 L11:M11 AH17 L12:N16 O12:AG12 O16:S16 R32:T32 AG13:AG15 L9:AH10 AH12:AH14 O23:S27 K4:K5 P13:S15 U16:AH16 T13:AF16">
    <cfRule type="expression" dxfId="20" priority="893">
      <formula>$E$4=0</formula>
    </cfRule>
  </conditionalFormatting>
  <conditionalFormatting sqref="E18 F18:H22 H23 R17:T17 O31:T31 K4:K5 O28:S30">
    <cfRule type="expression" dxfId="19" priority="907">
      <formula>$E$4=0</formula>
    </cfRule>
  </conditionalFormatting>
  <conditionalFormatting sqref="H33">
    <cfRule type="expression" dxfId="18" priority="913">
      <formula>AND($E$8=$BE$18,$H$33&gt;30)</formula>
    </cfRule>
    <cfRule type="expression" dxfId="17" priority="914">
      <formula>$H$33&gt;50</formula>
    </cfRule>
  </conditionalFormatting>
  <conditionalFormatting sqref="C24:D24">
    <cfRule type="expression" dxfId="16" priority="918">
      <formula>$C$24=$BE$45</formula>
    </cfRule>
  </conditionalFormatting>
  <conditionalFormatting sqref="C28">
    <cfRule type="expression" dxfId="15" priority="919">
      <formula>$C$28=$BE$49</formula>
    </cfRule>
  </conditionalFormatting>
  <conditionalFormatting sqref="C24">
    <cfRule type="expression" dxfId="14" priority="920">
      <formula>$C$24=$BE$46</formula>
    </cfRule>
  </conditionalFormatting>
  <conditionalFormatting sqref="AB3:AC3">
    <cfRule type="expression" dxfId="13" priority="15">
      <formula>$BO$19=FALSE</formula>
    </cfRule>
  </conditionalFormatting>
  <conditionalFormatting sqref="O15">
    <cfRule type="expression" dxfId="12" priority="13">
      <formula>$E$4=0</formula>
    </cfRule>
  </conditionalFormatting>
  <conditionalFormatting sqref="O13:O14">
    <cfRule type="expression" dxfId="11" priority="12">
      <formula>$E$4=0</formula>
    </cfRule>
  </conditionalFormatting>
  <conditionalFormatting sqref="U23:AF29">
    <cfRule type="cellIs" dxfId="10" priority="9" operator="equal">
      <formula>0</formula>
    </cfRule>
  </conditionalFormatting>
  <conditionalFormatting sqref="AH30 AH25:AH27 U29:AH29 T22:AH23 T25:AG25 T26:AF29 U26:AG28">
    <cfRule type="expression" dxfId="9" priority="10">
      <formula>$E$4=0</formula>
    </cfRule>
  </conditionalFormatting>
  <conditionalFormatting sqref="T30">
    <cfRule type="expression" dxfId="8" priority="11">
      <formula>$E$4=0</formula>
    </cfRule>
  </conditionalFormatting>
  <conditionalFormatting sqref="R1:AH6 R8:AH34 S7:AH7">
    <cfRule type="expression" dxfId="7" priority="8">
      <formula>$N$3=$BN$9</formula>
    </cfRule>
  </conditionalFormatting>
  <conditionalFormatting sqref="T3">
    <cfRule type="expression" dxfId="6" priority="7">
      <formula>$N$3=$BN$9</formula>
    </cfRule>
  </conditionalFormatting>
  <conditionalFormatting sqref="T1:AH34">
    <cfRule type="expression" dxfId="5" priority="6">
      <formula>$N$3=$BN$10</formula>
    </cfRule>
  </conditionalFormatting>
  <conditionalFormatting sqref="R7">
    <cfRule type="expression" dxfId="4" priority="5">
      <formula>$N$3=$BN$9</formula>
    </cfRule>
  </conditionalFormatting>
  <conditionalFormatting sqref="R7">
    <cfRule type="expression" dxfId="3" priority="4">
      <formula>$N$3=$BN$9</formula>
    </cfRule>
  </conditionalFormatting>
  <conditionalFormatting sqref="R7:R17 R34">
    <cfRule type="expression" dxfId="2" priority="3">
      <formula>$N$3=$BN$11</formula>
    </cfRule>
  </conditionalFormatting>
  <conditionalFormatting sqref="T20:AH30">
    <cfRule type="expression" dxfId="1" priority="2">
      <formula>$Z$3=$BR$21</formula>
    </cfRule>
  </conditionalFormatting>
  <conditionalFormatting sqref="T7:AH17">
    <cfRule type="expression" dxfId="0" priority="1">
      <formula>$Z$3&lt;&gt;$BR$21</formula>
    </cfRule>
  </conditionalFormatting>
  <dataValidations count="9">
    <dataValidation type="list" allowBlank="1" showInputMessage="1" showErrorMessage="1" sqref="E8">
      <formula1>$BE$15:$BE$18</formula1>
    </dataValidation>
    <dataValidation type="whole" allowBlank="1" showInputMessage="1" showErrorMessage="1" sqref="E9">
      <formula1>1</formula1>
      <formula2>10</formula2>
    </dataValidation>
    <dataValidation type="list" allowBlank="1" showInputMessage="1" showErrorMessage="1" sqref="E5">
      <formula1>$BE$30:$BE$34</formula1>
    </dataValidation>
    <dataValidation type="list" allowBlank="1" showInputMessage="1" showErrorMessage="1" sqref="C18:C22">
      <formula1>$BE$10:$BE$12</formula1>
    </dataValidation>
    <dataValidation type="list" allowBlank="1" showInputMessage="1" showErrorMessage="1" sqref="E7">
      <formula1>$BE$51:$BE$58</formula1>
    </dataValidation>
    <dataValidation type="list" allowBlank="1" showInputMessage="1" showErrorMessage="1" sqref="E6">
      <formula1>$BH$6:$BH$7</formula1>
    </dataValidation>
    <dataValidation type="list" allowBlank="1" showInputMessage="1" showErrorMessage="1" sqref="E10">
      <formula1>$BE$24:$BE$27</formula1>
    </dataValidation>
    <dataValidation type="list" allowBlank="1" showInputMessage="1" showErrorMessage="1" sqref="Z3:AA3">
      <formula1>$BR$21:$BR$26</formula1>
    </dataValidation>
    <dataValidation type="list" allowBlank="1" showInputMessage="1" showErrorMessage="1" sqref="N3:O3">
      <formula1>$BN$9:$BN$11</formula1>
    </dataValidation>
  </dataValidations>
  <printOptions horizontalCentered="1" verticalCentered="1"/>
  <pageMargins left="0.11811023622047245" right="0.11811023622047245" top="0.74803149606299213" bottom="0.74803149606299213" header="0.31496062992125984" footer="0.31496062992125984"/>
  <pageSetup paperSize="9" scale="37" orientation="landscape" verticalDpi="12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0" id="{EF76963A-3665-484E-89CB-BD520C342830}">
            <x14:iconSet iconSet="3Symbols2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E24:G24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theme="1"/>
  </sheetPr>
  <dimension ref="A1:P163"/>
  <sheetViews>
    <sheetView workbookViewId="0">
      <selection activeCell="J2" sqref="J2"/>
    </sheetView>
  </sheetViews>
  <sheetFormatPr defaultColWidth="9.109375" defaultRowHeight="14.4" x14ac:dyDescent="0.3"/>
  <cols>
    <col min="1" max="1" width="1" style="28" customWidth="1"/>
    <col min="2" max="2" width="18.5546875" style="28" customWidth="1"/>
    <col min="3" max="3" width="36" style="226" customWidth="1"/>
    <col min="4" max="4" width="17.109375" style="28" hidden="1" customWidth="1"/>
    <col min="5" max="5" width="23.77734375" style="226" customWidth="1"/>
    <col min="6" max="6" width="16.33203125" style="226" customWidth="1"/>
    <col min="7" max="8" width="13.6640625" style="28" customWidth="1"/>
    <col min="9" max="9" width="13.6640625" style="47" customWidth="1"/>
    <col min="10" max="10" width="18.44140625" style="47" customWidth="1"/>
    <col min="11" max="11" width="12.21875" style="28" hidden="1" customWidth="1"/>
    <col min="12" max="12" width="11.44140625" style="28" hidden="1" customWidth="1"/>
    <col min="13" max="13" width="14.109375" style="28" hidden="1" customWidth="1"/>
    <col min="14" max="14" width="14.6640625" style="28" hidden="1" customWidth="1"/>
    <col min="15" max="17" width="9.109375" style="28" customWidth="1"/>
    <col min="18" max="16384" width="9.109375" style="28"/>
  </cols>
  <sheetData>
    <row r="1" spans="1:14" x14ac:dyDescent="0.3">
      <c r="A1" s="24"/>
      <c r="B1" s="25"/>
      <c r="C1" s="224"/>
      <c r="D1" s="25"/>
      <c r="E1" s="224"/>
      <c r="F1" s="30"/>
      <c r="G1" s="24"/>
      <c r="H1" s="27"/>
      <c r="I1" s="29"/>
      <c r="J1" s="29"/>
    </row>
    <row r="2" spans="1:14" x14ac:dyDescent="0.3">
      <c r="A2" s="24"/>
      <c r="B2" s="25"/>
      <c r="C2" s="224"/>
      <c r="D2" s="25"/>
      <c r="E2" s="224"/>
      <c r="F2" s="30"/>
      <c r="G2" s="30"/>
      <c r="H2" s="31"/>
      <c r="I2" s="31" t="s">
        <v>190</v>
      </c>
      <c r="J2" s="127" t="s">
        <v>192</v>
      </c>
      <c r="M2" s="28" t="s">
        <v>192</v>
      </c>
    </row>
    <row r="3" spans="1:14" x14ac:dyDescent="0.3">
      <c r="A3" s="24"/>
      <c r="B3" s="7"/>
      <c r="C3" s="224"/>
      <c r="D3" s="32"/>
      <c r="E3" s="225"/>
      <c r="F3" s="30"/>
      <c r="G3" s="593" t="s">
        <v>26</v>
      </c>
      <c r="H3" s="593"/>
      <c r="I3" s="593"/>
      <c r="J3" s="125">
        <v>0</v>
      </c>
      <c r="M3" s="28" t="s">
        <v>191</v>
      </c>
    </row>
    <row r="4" spans="1:14" x14ac:dyDescent="0.3">
      <c r="A4" s="24"/>
      <c r="B4" s="7"/>
      <c r="C4" s="224"/>
      <c r="D4" s="32"/>
      <c r="E4" s="225"/>
      <c r="F4" s="30"/>
      <c r="G4" s="29"/>
      <c r="H4" s="29"/>
      <c r="I4" s="29"/>
      <c r="J4" s="33"/>
    </row>
    <row r="5" spans="1:14" s="35" customFormat="1" ht="20.100000000000001" customHeight="1" x14ac:dyDescent="0.3">
      <c r="A5" s="34"/>
      <c r="B5" s="594" t="s">
        <v>27</v>
      </c>
      <c r="C5" s="595"/>
      <c r="D5" s="595"/>
      <c r="E5" s="595"/>
      <c r="F5" s="595"/>
      <c r="G5" s="595"/>
      <c r="H5" s="595"/>
      <c r="I5" s="595"/>
      <c r="J5" s="595"/>
    </row>
    <row r="6" spans="1:14" s="36" customFormat="1" ht="30" customHeight="1" x14ac:dyDescent="0.25">
      <c r="A6" s="24"/>
      <c r="B6" s="596" t="s">
        <v>28</v>
      </c>
      <c r="C6" s="596"/>
      <c r="D6" s="596"/>
      <c r="E6" s="184" t="s">
        <v>29</v>
      </c>
      <c r="F6" s="184" t="s">
        <v>30</v>
      </c>
      <c r="G6" s="184" t="s">
        <v>137</v>
      </c>
      <c r="H6" s="184" t="s">
        <v>31</v>
      </c>
      <c r="I6" s="185" t="s">
        <v>196</v>
      </c>
      <c r="J6" s="186" t="s">
        <v>195</v>
      </c>
    </row>
    <row r="7" spans="1:14" s="36" customFormat="1" ht="18" customHeight="1" x14ac:dyDescent="0.25">
      <c r="A7" s="24"/>
      <c r="B7" s="597" t="s">
        <v>284</v>
      </c>
      <c r="C7" s="598"/>
      <c r="D7" s="598"/>
      <c r="E7" s="598"/>
      <c r="F7" s="598"/>
      <c r="G7" s="598"/>
      <c r="H7" s="598"/>
      <c r="I7" s="598"/>
      <c r="J7" s="599"/>
      <c r="M7" s="36" t="s">
        <v>193</v>
      </c>
      <c r="N7" s="36" t="s">
        <v>194</v>
      </c>
    </row>
    <row r="8" spans="1:14" s="36" customFormat="1" ht="20.100000000000001" customHeight="1" x14ac:dyDescent="0.25">
      <c r="A8" s="24"/>
      <c r="B8" s="591"/>
      <c r="C8" s="550" t="s">
        <v>32</v>
      </c>
      <c r="D8" s="551" t="s">
        <v>33</v>
      </c>
      <c r="E8" s="223" t="s">
        <v>289</v>
      </c>
      <c r="F8" s="177" t="s">
        <v>243</v>
      </c>
      <c r="G8" s="592">
        <v>5.4</v>
      </c>
      <c r="H8" s="591" t="s">
        <v>34</v>
      </c>
      <c r="I8" s="166">
        <f>J8-J8*$J$3</f>
        <v>4386.9799999999996</v>
      </c>
      <c r="J8" s="165">
        <f>IF($J$2=$M$2,M8,N8)</f>
        <v>4386.9799999999996</v>
      </c>
      <c r="K8" s="37"/>
      <c r="M8" s="216">
        <v>4386.9799999999996</v>
      </c>
      <c r="N8" s="156">
        <f>M8*1.05</f>
        <v>4606.3289999999997</v>
      </c>
    </row>
    <row r="9" spans="1:14" s="36" customFormat="1" ht="20.100000000000001" customHeight="1" x14ac:dyDescent="0.25">
      <c r="A9" s="24"/>
      <c r="B9" s="591"/>
      <c r="C9" s="550"/>
      <c r="D9" s="551"/>
      <c r="E9" s="223" t="s">
        <v>332</v>
      </c>
      <c r="F9" s="177" t="s">
        <v>138</v>
      </c>
      <c r="G9" s="592"/>
      <c r="H9" s="591"/>
      <c r="I9" s="166">
        <f t="shared" ref="I9:I70" si="0">J9-J9*$J$3</f>
        <v>4735.13</v>
      </c>
      <c r="J9" s="165">
        <f>IF($J$2=$M$2,M9,N9)</f>
        <v>4735.13</v>
      </c>
      <c r="K9" s="37"/>
      <c r="M9" s="216">
        <v>4735.13</v>
      </c>
      <c r="N9" s="156">
        <f>M9*1.05</f>
        <v>4971.8865000000005</v>
      </c>
    </row>
    <row r="10" spans="1:14" s="36" customFormat="1" ht="20.100000000000001" customHeight="1" x14ac:dyDescent="0.25">
      <c r="A10" s="24"/>
      <c r="B10" s="591"/>
      <c r="C10" s="550"/>
      <c r="D10" s="551" t="s">
        <v>35</v>
      </c>
      <c r="E10" s="223" t="s">
        <v>315</v>
      </c>
      <c r="F10" s="177" t="s">
        <v>244</v>
      </c>
      <c r="G10" s="592"/>
      <c r="H10" s="591"/>
      <c r="I10" s="166">
        <f t="shared" ref="I10" si="1">J10-J10*$J$3</f>
        <v>6218.61</v>
      </c>
      <c r="J10" s="165">
        <f>IF($J$2=$M$2,M10,N10)</f>
        <v>6218.61</v>
      </c>
      <c r="K10" s="37"/>
      <c r="M10" s="217">
        <v>6218.61</v>
      </c>
      <c r="N10" s="156">
        <f>M10*1.05</f>
        <v>6529.5405000000001</v>
      </c>
    </row>
    <row r="11" spans="1:14" s="36" customFormat="1" ht="20.100000000000001" customHeight="1" x14ac:dyDescent="0.25">
      <c r="A11" s="24"/>
      <c r="B11" s="591"/>
      <c r="C11" s="550"/>
      <c r="D11" s="551"/>
      <c r="E11" s="223" t="s">
        <v>296</v>
      </c>
      <c r="F11" s="177" t="s">
        <v>139</v>
      </c>
      <c r="G11" s="592"/>
      <c r="H11" s="591"/>
      <c r="I11" s="166">
        <f t="shared" si="0"/>
        <v>6218.61</v>
      </c>
      <c r="J11" s="165">
        <f>IF($J$2=$M$2,M11,N11)</f>
        <v>6218.61</v>
      </c>
      <c r="K11" s="37"/>
      <c r="M11" s="157">
        <v>6218.61</v>
      </c>
      <c r="N11" s="169">
        <f t="shared" ref="N11:N15" si="2">M11*1.05</f>
        <v>6529.5405000000001</v>
      </c>
    </row>
    <row r="12" spans="1:14" s="36" customFormat="1" ht="20.100000000000001" customHeight="1" x14ac:dyDescent="0.25">
      <c r="A12" s="24"/>
      <c r="B12" s="591"/>
      <c r="C12" s="550"/>
      <c r="D12" s="551"/>
      <c r="E12" s="223" t="s">
        <v>303</v>
      </c>
      <c r="F12" s="177" t="s">
        <v>36</v>
      </c>
      <c r="G12" s="592"/>
      <c r="H12" s="591"/>
      <c r="I12" s="166">
        <f t="shared" ref="I12:I13" si="3">J12-J12*$J$3</f>
        <v>6218.61</v>
      </c>
      <c r="J12" s="165">
        <f t="shared" ref="J12:J13" si="4">IF($J$2=$M$2,M12,N12)</f>
        <v>6218.61</v>
      </c>
      <c r="K12" s="37"/>
      <c r="M12" s="157">
        <v>6218.61</v>
      </c>
      <c r="N12" s="169">
        <f t="shared" si="2"/>
        <v>6529.5405000000001</v>
      </c>
    </row>
    <row r="13" spans="1:14" s="36" customFormat="1" ht="20.100000000000001" customHeight="1" x14ac:dyDescent="0.25">
      <c r="A13" s="24"/>
      <c r="B13" s="591"/>
      <c r="C13" s="550"/>
      <c r="D13" s="551"/>
      <c r="E13" s="223" t="s">
        <v>309</v>
      </c>
      <c r="F13" s="177" t="s">
        <v>37</v>
      </c>
      <c r="G13" s="592"/>
      <c r="H13" s="591"/>
      <c r="I13" s="166">
        <f t="shared" si="3"/>
        <v>6218.61</v>
      </c>
      <c r="J13" s="165">
        <f t="shared" si="4"/>
        <v>6218.61</v>
      </c>
      <c r="K13" s="37"/>
      <c r="M13" s="157">
        <v>6218.61</v>
      </c>
      <c r="N13" s="169">
        <f t="shared" si="2"/>
        <v>6529.5405000000001</v>
      </c>
    </row>
    <row r="14" spans="1:14" s="36" customFormat="1" ht="20.100000000000001" customHeight="1" x14ac:dyDescent="0.25">
      <c r="A14" s="24"/>
      <c r="B14" s="591"/>
      <c r="C14" s="550"/>
      <c r="D14" s="551"/>
      <c r="E14" s="223" t="s">
        <v>320</v>
      </c>
      <c r="F14" s="177" t="s">
        <v>245</v>
      </c>
      <c r="G14" s="592"/>
      <c r="H14" s="591"/>
      <c r="I14" s="166">
        <f t="shared" ref="I14" si="5">J14-J14*$J$3</f>
        <v>6218.61</v>
      </c>
      <c r="J14" s="165">
        <f>IF($J$2=$M$2,M14,N14)</f>
        <v>6218.61</v>
      </c>
      <c r="K14" s="37"/>
      <c r="M14" s="157">
        <v>6218.61</v>
      </c>
      <c r="N14" s="169">
        <f t="shared" si="2"/>
        <v>6529.5405000000001</v>
      </c>
    </row>
    <row r="15" spans="1:14" s="36" customFormat="1" ht="20.100000000000001" customHeight="1" x14ac:dyDescent="0.25">
      <c r="A15" s="24"/>
      <c r="B15" s="591"/>
      <c r="C15" s="550"/>
      <c r="D15" s="551"/>
      <c r="E15" s="223" t="s">
        <v>326</v>
      </c>
      <c r="F15" s="177" t="s">
        <v>246</v>
      </c>
      <c r="G15" s="592"/>
      <c r="H15" s="591"/>
      <c r="I15" s="166">
        <f t="shared" ref="I15" si="6">J15-J15*$J$3</f>
        <v>6218.61</v>
      </c>
      <c r="J15" s="165">
        <f>IF($J$2=$M$2,M15,N15)</f>
        <v>6218.61</v>
      </c>
      <c r="K15" s="37"/>
      <c r="M15" s="157">
        <v>6218.61</v>
      </c>
      <c r="N15" s="169">
        <f t="shared" si="2"/>
        <v>6529.5405000000001</v>
      </c>
    </row>
    <row r="16" spans="1:14" s="36" customFormat="1" ht="20.100000000000001" customHeight="1" x14ac:dyDescent="0.25">
      <c r="A16" s="24"/>
      <c r="B16" s="591"/>
      <c r="C16" s="550" t="s">
        <v>140</v>
      </c>
      <c r="D16" s="551" t="s">
        <v>38</v>
      </c>
      <c r="E16" s="223" t="s">
        <v>287</v>
      </c>
      <c r="F16" s="177" t="s">
        <v>243</v>
      </c>
      <c r="G16" s="592">
        <v>5.0750000000000002</v>
      </c>
      <c r="H16" s="591" t="s">
        <v>34</v>
      </c>
      <c r="I16" s="166">
        <f t="shared" si="0"/>
        <v>1534.73</v>
      </c>
      <c r="J16" s="165">
        <f t="shared" ref="J16:J19" si="7">IF($J$2=$M$2,M16,N16)</f>
        <v>1534.73</v>
      </c>
      <c r="K16" s="37"/>
      <c r="M16" s="216">
        <v>1534.73</v>
      </c>
      <c r="N16" s="156">
        <f>M16*1.05</f>
        <v>1611.4665</v>
      </c>
    </row>
    <row r="17" spans="1:14" s="36" customFormat="1" ht="20.100000000000001" customHeight="1" x14ac:dyDescent="0.25">
      <c r="A17" s="24"/>
      <c r="B17" s="591"/>
      <c r="C17" s="550"/>
      <c r="D17" s="551"/>
      <c r="E17" s="223" t="s">
        <v>331</v>
      </c>
      <c r="F17" s="177" t="s">
        <v>138</v>
      </c>
      <c r="G17" s="592"/>
      <c r="H17" s="591"/>
      <c r="I17" s="166">
        <f t="shared" si="0"/>
        <v>1656.5</v>
      </c>
      <c r="J17" s="165">
        <f t="shared" si="7"/>
        <v>1656.5</v>
      </c>
      <c r="K17" s="37"/>
      <c r="M17" s="217">
        <v>1656.5</v>
      </c>
      <c r="N17" s="156">
        <f>M17*1.05</f>
        <v>1739.325</v>
      </c>
    </row>
    <row r="18" spans="1:14" s="36" customFormat="1" ht="20.100000000000001" customHeight="1" x14ac:dyDescent="0.25">
      <c r="A18" s="24"/>
      <c r="B18" s="591"/>
      <c r="C18" s="550"/>
      <c r="D18" s="551" t="s">
        <v>39</v>
      </c>
      <c r="E18" s="223" t="s">
        <v>314</v>
      </c>
      <c r="F18" s="177" t="s">
        <v>244</v>
      </c>
      <c r="G18" s="592"/>
      <c r="H18" s="591"/>
      <c r="I18" s="166">
        <f t="shared" ref="I18" si="8">J18-J18*$J$3</f>
        <v>2001.95</v>
      </c>
      <c r="J18" s="165">
        <f t="shared" si="7"/>
        <v>2001.95</v>
      </c>
      <c r="K18" s="37"/>
      <c r="M18" s="216">
        <v>2001.95</v>
      </c>
      <c r="N18" s="156">
        <f>M18*1.05</f>
        <v>2102.0475000000001</v>
      </c>
    </row>
    <row r="19" spans="1:14" s="36" customFormat="1" ht="20.100000000000001" customHeight="1" x14ac:dyDescent="0.25">
      <c r="A19" s="24"/>
      <c r="B19" s="591"/>
      <c r="C19" s="550"/>
      <c r="D19" s="551"/>
      <c r="E19" s="223" t="s">
        <v>295</v>
      </c>
      <c r="F19" s="177" t="s">
        <v>139</v>
      </c>
      <c r="G19" s="592"/>
      <c r="H19" s="591"/>
      <c r="I19" s="166">
        <f t="shared" si="0"/>
        <v>2001.95</v>
      </c>
      <c r="J19" s="165">
        <f t="shared" si="7"/>
        <v>2001.95</v>
      </c>
      <c r="K19" s="37"/>
      <c r="M19" s="221">
        <v>2001.95</v>
      </c>
      <c r="N19" s="170">
        <f t="shared" ref="N19:N70" si="9">M19*1.05</f>
        <v>2102.0475000000001</v>
      </c>
    </row>
    <row r="20" spans="1:14" s="36" customFormat="1" ht="20.100000000000001" customHeight="1" x14ac:dyDescent="0.25">
      <c r="A20" s="24"/>
      <c r="B20" s="591"/>
      <c r="C20" s="550"/>
      <c r="D20" s="551"/>
      <c r="E20" s="223" t="s">
        <v>302</v>
      </c>
      <c r="F20" s="177" t="s">
        <v>36</v>
      </c>
      <c r="G20" s="592"/>
      <c r="H20" s="591"/>
      <c r="I20" s="166">
        <f t="shared" ref="I20:I23" si="10">J20-J20*$J$3</f>
        <v>2001.95</v>
      </c>
      <c r="J20" s="165">
        <f t="shared" ref="J20:J23" si="11">IF($J$2=$M$2,M20,N20)</f>
        <v>2001.95</v>
      </c>
      <c r="K20" s="37"/>
      <c r="M20" s="221">
        <v>2001.95</v>
      </c>
      <c r="N20" s="170">
        <f t="shared" ref="N20:N23" si="12">M20*1.05</f>
        <v>2102.0475000000001</v>
      </c>
    </row>
    <row r="21" spans="1:14" s="36" customFormat="1" ht="20.100000000000001" customHeight="1" x14ac:dyDescent="0.25">
      <c r="A21" s="24"/>
      <c r="B21" s="591"/>
      <c r="C21" s="550"/>
      <c r="D21" s="551"/>
      <c r="E21" s="223" t="s">
        <v>308</v>
      </c>
      <c r="F21" s="177" t="s">
        <v>37</v>
      </c>
      <c r="G21" s="592"/>
      <c r="H21" s="591"/>
      <c r="I21" s="166">
        <f t="shared" si="10"/>
        <v>2001.95</v>
      </c>
      <c r="J21" s="165">
        <f t="shared" si="11"/>
        <v>2001.95</v>
      </c>
      <c r="K21" s="37"/>
      <c r="M21" s="221">
        <v>2001.95</v>
      </c>
      <c r="N21" s="170">
        <f t="shared" si="12"/>
        <v>2102.0475000000001</v>
      </c>
    </row>
    <row r="22" spans="1:14" s="36" customFormat="1" ht="20.100000000000001" customHeight="1" x14ac:dyDescent="0.25">
      <c r="A22" s="24"/>
      <c r="B22" s="591"/>
      <c r="C22" s="550"/>
      <c r="D22" s="551"/>
      <c r="E22" s="223" t="s">
        <v>319</v>
      </c>
      <c r="F22" s="177" t="s">
        <v>247</v>
      </c>
      <c r="G22" s="592"/>
      <c r="H22" s="591"/>
      <c r="I22" s="166">
        <f t="shared" si="10"/>
        <v>2001.95</v>
      </c>
      <c r="J22" s="165">
        <f t="shared" si="11"/>
        <v>2001.95</v>
      </c>
      <c r="K22" s="37"/>
      <c r="M22" s="221">
        <v>2001.95</v>
      </c>
      <c r="N22" s="170">
        <f t="shared" si="12"/>
        <v>2102.0475000000001</v>
      </c>
    </row>
    <row r="23" spans="1:14" s="36" customFormat="1" ht="20.100000000000001" customHeight="1" x14ac:dyDescent="0.25">
      <c r="A23" s="24"/>
      <c r="B23" s="591"/>
      <c r="C23" s="550"/>
      <c r="D23" s="551"/>
      <c r="E23" s="223" t="s">
        <v>325</v>
      </c>
      <c r="F23" s="177" t="s">
        <v>246</v>
      </c>
      <c r="G23" s="592"/>
      <c r="H23" s="591"/>
      <c r="I23" s="166">
        <f t="shared" si="10"/>
        <v>2001.95</v>
      </c>
      <c r="J23" s="165">
        <f t="shared" si="11"/>
        <v>2001.95</v>
      </c>
      <c r="K23" s="37"/>
      <c r="M23" s="221">
        <v>2001.95</v>
      </c>
      <c r="N23" s="170">
        <f t="shared" si="12"/>
        <v>2102.0475000000001</v>
      </c>
    </row>
    <row r="24" spans="1:14" s="36" customFormat="1" ht="20.100000000000001" customHeight="1" x14ac:dyDescent="0.25">
      <c r="A24" s="24"/>
      <c r="B24" s="591"/>
      <c r="C24" s="550" t="s">
        <v>141</v>
      </c>
      <c r="D24" s="551" t="s">
        <v>33</v>
      </c>
      <c r="E24" s="223" t="s">
        <v>288</v>
      </c>
      <c r="F24" s="177" t="s">
        <v>243</v>
      </c>
      <c r="G24" s="592">
        <v>5</v>
      </c>
      <c r="H24" s="591" t="s">
        <v>34</v>
      </c>
      <c r="I24" s="166">
        <f t="shared" si="0"/>
        <v>4715.42</v>
      </c>
      <c r="J24" s="165">
        <f t="shared" ref="J24:J32" si="13">IF($J$2=$M$2,M24,N24)</f>
        <v>4715.42</v>
      </c>
      <c r="K24" s="37"/>
      <c r="M24" s="216">
        <v>4715.42</v>
      </c>
      <c r="N24" s="156">
        <f t="shared" si="9"/>
        <v>4951.1910000000007</v>
      </c>
    </row>
    <row r="25" spans="1:14" s="36" customFormat="1" ht="20.100000000000001" customHeight="1" x14ac:dyDescent="0.25">
      <c r="A25" s="24"/>
      <c r="B25" s="591"/>
      <c r="C25" s="550"/>
      <c r="D25" s="551"/>
      <c r="E25" s="223" t="s">
        <v>447</v>
      </c>
      <c r="F25" s="177" t="s">
        <v>138</v>
      </c>
      <c r="G25" s="592"/>
      <c r="H25" s="591"/>
      <c r="I25" s="166">
        <f t="shared" si="0"/>
        <v>4942.8100000000004</v>
      </c>
      <c r="J25" s="165">
        <f t="shared" si="13"/>
        <v>4942.8100000000004</v>
      </c>
      <c r="K25" s="37"/>
      <c r="M25" s="216">
        <v>4942.8100000000004</v>
      </c>
      <c r="N25" s="156">
        <f t="shared" si="9"/>
        <v>5189.9505000000008</v>
      </c>
    </row>
    <row r="26" spans="1:14" s="36" customFormat="1" ht="20.100000000000001" customHeight="1" x14ac:dyDescent="0.25">
      <c r="A26" s="24"/>
      <c r="B26" s="591"/>
      <c r="C26" s="550" t="s">
        <v>355</v>
      </c>
      <c r="D26" s="551" t="s">
        <v>33</v>
      </c>
      <c r="E26" s="223" t="s">
        <v>290</v>
      </c>
      <c r="F26" s="177" t="s">
        <v>243</v>
      </c>
      <c r="G26" s="592">
        <v>5.4</v>
      </c>
      <c r="H26" s="591" t="s">
        <v>34</v>
      </c>
      <c r="I26" s="166">
        <f t="shared" si="0"/>
        <v>1079.18</v>
      </c>
      <c r="J26" s="165">
        <f t="shared" si="13"/>
        <v>1079.18</v>
      </c>
      <c r="K26" s="37"/>
      <c r="M26" s="216">
        <v>1079.18</v>
      </c>
      <c r="N26" s="156">
        <f t="shared" si="9"/>
        <v>1133.1390000000001</v>
      </c>
    </row>
    <row r="27" spans="1:14" s="36" customFormat="1" ht="20.100000000000001" customHeight="1" x14ac:dyDescent="0.25">
      <c r="A27" s="24"/>
      <c r="B27" s="591"/>
      <c r="C27" s="550"/>
      <c r="D27" s="551"/>
      <c r="E27" s="223" t="s">
        <v>333</v>
      </c>
      <c r="F27" s="177" t="s">
        <v>138</v>
      </c>
      <c r="G27" s="592"/>
      <c r="H27" s="591"/>
      <c r="I27" s="178">
        <f t="shared" si="0"/>
        <v>1167.8</v>
      </c>
      <c r="J27" s="165">
        <f t="shared" si="13"/>
        <v>1167.8</v>
      </c>
      <c r="K27" s="37"/>
      <c r="M27" s="216">
        <v>1167.8</v>
      </c>
      <c r="N27" s="156">
        <f t="shared" si="9"/>
        <v>1226.19</v>
      </c>
    </row>
    <row r="28" spans="1:14" s="36" customFormat="1" ht="20.100000000000001" customHeight="1" x14ac:dyDescent="0.25">
      <c r="A28" s="24"/>
      <c r="B28" s="591"/>
      <c r="C28" s="550"/>
      <c r="D28" s="551"/>
      <c r="E28" s="223" t="s">
        <v>297</v>
      </c>
      <c r="F28" s="177" t="s">
        <v>139</v>
      </c>
      <c r="G28" s="592"/>
      <c r="H28" s="591"/>
      <c r="I28" s="178">
        <f t="shared" si="0"/>
        <v>1265.18</v>
      </c>
      <c r="J28" s="165">
        <f t="shared" si="13"/>
        <v>1265.18</v>
      </c>
      <c r="K28" s="37"/>
      <c r="M28" s="217">
        <v>1265.18</v>
      </c>
      <c r="N28" s="156">
        <f t="shared" si="9"/>
        <v>1328.4390000000001</v>
      </c>
    </row>
    <row r="29" spans="1:14" s="36" customFormat="1" ht="20.100000000000001" customHeight="1" x14ac:dyDescent="0.25">
      <c r="A29" s="24"/>
      <c r="B29" s="591"/>
      <c r="C29" s="550" t="s">
        <v>40</v>
      </c>
      <c r="D29" s="551" t="s">
        <v>33</v>
      </c>
      <c r="E29" s="223" t="s">
        <v>292</v>
      </c>
      <c r="F29" s="177" t="s">
        <v>243</v>
      </c>
      <c r="G29" s="592">
        <v>5</v>
      </c>
      <c r="H29" s="591" t="s">
        <v>34</v>
      </c>
      <c r="I29" s="166">
        <f t="shared" si="0"/>
        <v>2648.86</v>
      </c>
      <c r="J29" s="165">
        <f t="shared" si="13"/>
        <v>2648.86</v>
      </c>
      <c r="K29" s="37"/>
      <c r="M29" s="216">
        <v>2648.86</v>
      </c>
      <c r="N29" s="156">
        <f t="shared" si="9"/>
        <v>2781.3030000000003</v>
      </c>
    </row>
    <row r="30" spans="1:14" s="36" customFormat="1" ht="20.100000000000001" customHeight="1" x14ac:dyDescent="0.25">
      <c r="A30" s="24"/>
      <c r="B30" s="591"/>
      <c r="C30" s="550"/>
      <c r="D30" s="551"/>
      <c r="E30" s="223" t="s">
        <v>335</v>
      </c>
      <c r="F30" s="177" t="s">
        <v>138</v>
      </c>
      <c r="G30" s="592"/>
      <c r="H30" s="591"/>
      <c r="I30" s="166">
        <f t="shared" si="0"/>
        <v>2857.8</v>
      </c>
      <c r="J30" s="165">
        <f t="shared" si="13"/>
        <v>2857.8</v>
      </c>
      <c r="K30" s="37"/>
      <c r="M30" s="216">
        <v>2857.8</v>
      </c>
      <c r="N30" s="156">
        <f t="shared" si="9"/>
        <v>3000.6900000000005</v>
      </c>
    </row>
    <row r="31" spans="1:14" s="36" customFormat="1" ht="20.100000000000001" customHeight="1" x14ac:dyDescent="0.25">
      <c r="A31" s="24"/>
      <c r="B31" s="591"/>
      <c r="C31" s="550"/>
      <c r="D31" s="551" t="s">
        <v>35</v>
      </c>
      <c r="E31" s="223" t="s">
        <v>316</v>
      </c>
      <c r="F31" s="177" t="s">
        <v>244</v>
      </c>
      <c r="G31" s="592"/>
      <c r="H31" s="591"/>
      <c r="I31" s="166">
        <f t="shared" si="0"/>
        <v>4001.62</v>
      </c>
      <c r="J31" s="165">
        <f t="shared" si="13"/>
        <v>4001.62</v>
      </c>
      <c r="K31" s="37"/>
      <c r="M31" s="217">
        <v>4001.62</v>
      </c>
      <c r="N31" s="156">
        <f t="shared" si="9"/>
        <v>4201.701</v>
      </c>
    </row>
    <row r="32" spans="1:14" s="36" customFormat="1" ht="20.100000000000001" customHeight="1" x14ac:dyDescent="0.25">
      <c r="A32" s="24"/>
      <c r="B32" s="591"/>
      <c r="C32" s="550"/>
      <c r="D32" s="551"/>
      <c r="E32" s="223" t="s">
        <v>299</v>
      </c>
      <c r="F32" s="177" t="s">
        <v>139</v>
      </c>
      <c r="G32" s="592"/>
      <c r="H32" s="591"/>
      <c r="I32" s="166">
        <f t="shared" si="0"/>
        <v>4001.62</v>
      </c>
      <c r="J32" s="165">
        <f t="shared" si="13"/>
        <v>4001.62</v>
      </c>
      <c r="K32" s="37"/>
      <c r="M32" s="221">
        <v>4001.62</v>
      </c>
      <c r="N32" s="170">
        <f t="shared" si="9"/>
        <v>4201.701</v>
      </c>
    </row>
    <row r="33" spans="1:14" s="36" customFormat="1" ht="20.100000000000001" customHeight="1" x14ac:dyDescent="0.25">
      <c r="A33" s="24"/>
      <c r="B33" s="591"/>
      <c r="C33" s="550"/>
      <c r="D33" s="551"/>
      <c r="E33" s="223" t="s">
        <v>305</v>
      </c>
      <c r="F33" s="177" t="s">
        <v>36</v>
      </c>
      <c r="G33" s="592"/>
      <c r="H33" s="591"/>
      <c r="I33" s="166">
        <f t="shared" ref="I33:I36" si="14">J33-J33*$J$3</f>
        <v>4001.62</v>
      </c>
      <c r="J33" s="165">
        <f t="shared" ref="J33:J36" si="15">IF($J$2=$M$2,M33,N33)</f>
        <v>4001.62</v>
      </c>
      <c r="K33" s="37"/>
      <c r="M33" s="221">
        <v>4001.62</v>
      </c>
      <c r="N33" s="170">
        <f t="shared" ref="N33:N36" si="16">M33*1.05</f>
        <v>4201.701</v>
      </c>
    </row>
    <row r="34" spans="1:14" s="36" customFormat="1" ht="20.100000000000001" customHeight="1" x14ac:dyDescent="0.25">
      <c r="A34" s="24"/>
      <c r="B34" s="591"/>
      <c r="C34" s="550"/>
      <c r="D34" s="551"/>
      <c r="E34" s="223" t="s">
        <v>311</v>
      </c>
      <c r="F34" s="177" t="s">
        <v>37</v>
      </c>
      <c r="G34" s="592"/>
      <c r="H34" s="591"/>
      <c r="I34" s="166">
        <f t="shared" si="14"/>
        <v>4001.62</v>
      </c>
      <c r="J34" s="165">
        <f t="shared" si="15"/>
        <v>4001.62</v>
      </c>
      <c r="K34" s="37"/>
      <c r="M34" s="221">
        <v>4001.62</v>
      </c>
      <c r="N34" s="170">
        <f t="shared" si="16"/>
        <v>4201.701</v>
      </c>
    </row>
    <row r="35" spans="1:14" s="36" customFormat="1" ht="20.100000000000001" customHeight="1" x14ac:dyDescent="0.25">
      <c r="A35" s="24"/>
      <c r="B35" s="591"/>
      <c r="C35" s="550"/>
      <c r="D35" s="551"/>
      <c r="E35" s="223" t="s">
        <v>322</v>
      </c>
      <c r="F35" s="177" t="s">
        <v>245</v>
      </c>
      <c r="G35" s="592"/>
      <c r="H35" s="591"/>
      <c r="I35" s="166">
        <f t="shared" si="14"/>
        <v>4001.62</v>
      </c>
      <c r="J35" s="165">
        <f t="shared" si="15"/>
        <v>4001.62</v>
      </c>
      <c r="K35" s="37"/>
      <c r="M35" s="221">
        <v>4001.62</v>
      </c>
      <c r="N35" s="170">
        <f t="shared" si="16"/>
        <v>4201.701</v>
      </c>
    </row>
    <row r="36" spans="1:14" s="36" customFormat="1" ht="20.100000000000001" customHeight="1" x14ac:dyDescent="0.25">
      <c r="A36" s="24"/>
      <c r="B36" s="591"/>
      <c r="C36" s="550"/>
      <c r="D36" s="551"/>
      <c r="E36" s="223" t="s">
        <v>328</v>
      </c>
      <c r="F36" s="177" t="s">
        <v>246</v>
      </c>
      <c r="G36" s="592"/>
      <c r="H36" s="591"/>
      <c r="I36" s="166">
        <f t="shared" si="14"/>
        <v>4001.62</v>
      </c>
      <c r="J36" s="165">
        <f t="shared" si="15"/>
        <v>4001.62</v>
      </c>
      <c r="K36" s="37"/>
      <c r="M36" s="221">
        <v>4001.62</v>
      </c>
      <c r="N36" s="170">
        <f t="shared" si="16"/>
        <v>4201.701</v>
      </c>
    </row>
    <row r="37" spans="1:14" s="36" customFormat="1" ht="20.100000000000001" customHeight="1" x14ac:dyDescent="0.25">
      <c r="A37" s="24"/>
      <c r="B37" s="591"/>
      <c r="C37" s="550" t="s">
        <v>41</v>
      </c>
      <c r="D37" s="551" t="s">
        <v>33</v>
      </c>
      <c r="E37" s="223" t="s">
        <v>293</v>
      </c>
      <c r="F37" s="177" t="s">
        <v>243</v>
      </c>
      <c r="G37" s="592">
        <v>5</v>
      </c>
      <c r="H37" s="591" t="s">
        <v>34</v>
      </c>
      <c r="I37" s="166">
        <f t="shared" si="0"/>
        <v>2181.79</v>
      </c>
      <c r="J37" s="165">
        <f t="shared" ref="J37:J43" si="17">IF($J$2=$M$2,M37,N37)</f>
        <v>2181.79</v>
      </c>
      <c r="K37" s="37"/>
      <c r="M37" s="216">
        <v>2181.79</v>
      </c>
      <c r="N37" s="156">
        <f t="shared" si="9"/>
        <v>2290.8795</v>
      </c>
    </row>
    <row r="38" spans="1:14" s="36" customFormat="1" ht="20.100000000000001" customHeight="1" x14ac:dyDescent="0.25">
      <c r="A38" s="24"/>
      <c r="B38" s="591"/>
      <c r="C38" s="550"/>
      <c r="D38" s="551"/>
      <c r="E38" s="223" t="s">
        <v>336</v>
      </c>
      <c r="F38" s="177" t="s">
        <v>138</v>
      </c>
      <c r="G38" s="592"/>
      <c r="H38" s="591"/>
      <c r="I38" s="166">
        <f t="shared" si="0"/>
        <v>2399.56</v>
      </c>
      <c r="J38" s="165">
        <f t="shared" si="17"/>
        <v>2399.56</v>
      </c>
      <c r="K38" s="37"/>
      <c r="M38" s="216">
        <v>2399.56</v>
      </c>
      <c r="N38" s="156">
        <f t="shared" si="9"/>
        <v>2519.538</v>
      </c>
    </row>
    <row r="39" spans="1:14" s="36" customFormat="1" ht="20.100000000000001" customHeight="1" x14ac:dyDescent="0.25">
      <c r="A39" s="24"/>
      <c r="B39" s="591"/>
      <c r="C39" s="550"/>
      <c r="D39" s="551" t="s">
        <v>35</v>
      </c>
      <c r="E39" s="223" t="s">
        <v>317</v>
      </c>
      <c r="F39" s="177" t="s">
        <v>244</v>
      </c>
      <c r="G39" s="592"/>
      <c r="H39" s="591"/>
      <c r="I39" s="166">
        <f t="shared" ref="I39" si="18">J39-J39*$J$3</f>
        <v>3099.94</v>
      </c>
      <c r="J39" s="165">
        <f t="shared" si="17"/>
        <v>3099.94</v>
      </c>
      <c r="K39" s="37"/>
      <c r="M39" s="217">
        <v>3099.94</v>
      </c>
      <c r="N39" s="156">
        <f t="shared" si="9"/>
        <v>3254.9370000000004</v>
      </c>
    </row>
    <row r="40" spans="1:14" s="36" customFormat="1" ht="20.100000000000001" customHeight="1" x14ac:dyDescent="0.25">
      <c r="A40" s="24"/>
      <c r="B40" s="591"/>
      <c r="C40" s="550"/>
      <c r="D40" s="551"/>
      <c r="E40" s="223" t="s">
        <v>300</v>
      </c>
      <c r="F40" s="177" t="s">
        <v>139</v>
      </c>
      <c r="G40" s="592"/>
      <c r="H40" s="591"/>
      <c r="I40" s="166">
        <f t="shared" si="0"/>
        <v>3099.94</v>
      </c>
      <c r="J40" s="165">
        <f t="shared" si="17"/>
        <v>3099.94</v>
      </c>
      <c r="K40" s="37"/>
      <c r="M40" s="221">
        <v>3099.94</v>
      </c>
      <c r="N40" s="170">
        <f t="shared" si="9"/>
        <v>3254.9370000000004</v>
      </c>
    </row>
    <row r="41" spans="1:14" s="36" customFormat="1" ht="20.100000000000001" customHeight="1" x14ac:dyDescent="0.25">
      <c r="A41" s="24"/>
      <c r="B41" s="591"/>
      <c r="C41" s="550"/>
      <c r="D41" s="551"/>
      <c r="E41" s="223" t="s">
        <v>306</v>
      </c>
      <c r="F41" s="177" t="s">
        <v>36</v>
      </c>
      <c r="G41" s="592"/>
      <c r="H41" s="591"/>
      <c r="I41" s="166">
        <f t="shared" ref="I41:I42" si="19">J41-J41*$J$3</f>
        <v>3099.94</v>
      </c>
      <c r="J41" s="165">
        <f t="shared" ref="J41:J42" si="20">IF($J$2=$M$2,M41,N41)</f>
        <v>3099.94</v>
      </c>
      <c r="K41" s="37"/>
      <c r="M41" s="221">
        <v>3099.94</v>
      </c>
      <c r="N41" s="170">
        <f t="shared" ref="N41:N42" si="21">M41*1.05</f>
        <v>3254.9370000000004</v>
      </c>
    </row>
    <row r="42" spans="1:14" s="36" customFormat="1" ht="20.100000000000001" customHeight="1" x14ac:dyDescent="0.25">
      <c r="A42" s="24"/>
      <c r="B42" s="591"/>
      <c r="C42" s="550"/>
      <c r="D42" s="551"/>
      <c r="E42" s="223" t="s">
        <v>312</v>
      </c>
      <c r="F42" s="177" t="s">
        <v>37</v>
      </c>
      <c r="G42" s="592"/>
      <c r="H42" s="591"/>
      <c r="I42" s="166">
        <f t="shared" si="19"/>
        <v>3099.94</v>
      </c>
      <c r="J42" s="165">
        <f t="shared" si="20"/>
        <v>3099.94</v>
      </c>
      <c r="K42" s="37"/>
      <c r="M42" s="221">
        <v>3099.94</v>
      </c>
      <c r="N42" s="170">
        <f t="shared" si="21"/>
        <v>3254.9370000000004</v>
      </c>
    </row>
    <row r="43" spans="1:14" s="36" customFormat="1" ht="20.100000000000001" customHeight="1" x14ac:dyDescent="0.25">
      <c r="A43" s="24"/>
      <c r="B43" s="591"/>
      <c r="C43" s="550"/>
      <c r="D43" s="551"/>
      <c r="E43" s="223" t="s">
        <v>323</v>
      </c>
      <c r="F43" s="177" t="s">
        <v>245</v>
      </c>
      <c r="G43" s="592"/>
      <c r="H43" s="591"/>
      <c r="I43" s="166">
        <f t="shared" ref="I43" si="22">J43-J43*$J$3</f>
        <v>3099.94</v>
      </c>
      <c r="J43" s="165">
        <f t="shared" si="17"/>
        <v>3099.94</v>
      </c>
      <c r="K43" s="37"/>
      <c r="M43" s="221">
        <v>3099.94</v>
      </c>
      <c r="N43" s="170">
        <f t="shared" si="9"/>
        <v>3254.9370000000004</v>
      </c>
    </row>
    <row r="44" spans="1:14" s="36" customFormat="1" ht="20.100000000000001" customHeight="1" x14ac:dyDescent="0.25">
      <c r="A44" s="24"/>
      <c r="B44" s="591"/>
      <c r="C44" s="550"/>
      <c r="D44" s="551"/>
      <c r="E44" s="223" t="s">
        <v>329</v>
      </c>
      <c r="F44" s="177" t="s">
        <v>246</v>
      </c>
      <c r="G44" s="592"/>
      <c r="H44" s="591"/>
      <c r="I44" s="166">
        <f t="shared" ref="I44" si="23">J44-J44*$J$3</f>
        <v>3099.94</v>
      </c>
      <c r="J44" s="165">
        <f t="shared" ref="J44" si="24">IF($J$2=$M$2,M44,N44)</f>
        <v>3099.94</v>
      </c>
      <c r="K44" s="37"/>
      <c r="M44" s="221">
        <v>3099.94</v>
      </c>
      <c r="N44" s="170">
        <f t="shared" ref="N44" si="25">M44*1.05</f>
        <v>3254.9370000000004</v>
      </c>
    </row>
    <row r="45" spans="1:14" s="36" customFormat="1" ht="20.100000000000001" customHeight="1" x14ac:dyDescent="0.25">
      <c r="A45" s="24"/>
      <c r="B45" s="591"/>
      <c r="C45" s="550" t="s">
        <v>257</v>
      </c>
      <c r="D45" s="551" t="s">
        <v>33</v>
      </c>
      <c r="E45" s="223" t="s">
        <v>294</v>
      </c>
      <c r="F45" s="177" t="s">
        <v>243</v>
      </c>
      <c r="G45" s="592">
        <v>5</v>
      </c>
      <c r="H45" s="591" t="s">
        <v>34</v>
      </c>
      <c r="I45" s="166">
        <f t="shared" si="0"/>
        <v>3103.76</v>
      </c>
      <c r="J45" s="165">
        <f t="shared" ref="J45:J48" si="26">IF($J$2=$M$2,M45,N45)</f>
        <v>3103.76</v>
      </c>
      <c r="K45" s="37"/>
      <c r="M45" s="216">
        <v>3103.76</v>
      </c>
      <c r="N45" s="156">
        <f t="shared" si="9"/>
        <v>3258.9480000000003</v>
      </c>
    </row>
    <row r="46" spans="1:14" s="36" customFormat="1" ht="20.100000000000001" customHeight="1" x14ac:dyDescent="0.25">
      <c r="A46" s="24"/>
      <c r="B46" s="591"/>
      <c r="C46" s="550"/>
      <c r="D46" s="551"/>
      <c r="E46" s="223" t="s">
        <v>337</v>
      </c>
      <c r="F46" s="177" t="s">
        <v>138</v>
      </c>
      <c r="G46" s="592"/>
      <c r="H46" s="591"/>
      <c r="I46" s="166">
        <f t="shared" si="0"/>
        <v>3340.17</v>
      </c>
      <c r="J46" s="165">
        <f t="shared" si="26"/>
        <v>3340.17</v>
      </c>
      <c r="K46" s="37"/>
      <c r="M46" s="216">
        <v>3340.17</v>
      </c>
      <c r="N46" s="156">
        <f t="shared" si="9"/>
        <v>3507.1785000000004</v>
      </c>
    </row>
    <row r="47" spans="1:14" s="36" customFormat="1" ht="20.100000000000001" customHeight="1" x14ac:dyDescent="0.25">
      <c r="A47" s="24"/>
      <c r="B47" s="591"/>
      <c r="C47" s="550"/>
      <c r="D47" s="551" t="s">
        <v>35</v>
      </c>
      <c r="E47" s="223" t="s">
        <v>318</v>
      </c>
      <c r="F47" s="177" t="s">
        <v>244</v>
      </c>
      <c r="G47" s="592"/>
      <c r="H47" s="591"/>
      <c r="I47" s="166">
        <f t="shared" ref="I47" si="27">J47-J47*$J$3</f>
        <v>4900.99</v>
      </c>
      <c r="J47" s="165">
        <f t="shared" si="26"/>
        <v>4900.99</v>
      </c>
      <c r="K47" s="37"/>
      <c r="M47" s="217">
        <v>4900.99</v>
      </c>
      <c r="N47" s="156">
        <f t="shared" si="9"/>
        <v>5146.0394999999999</v>
      </c>
    </row>
    <row r="48" spans="1:14" s="36" customFormat="1" ht="20.100000000000001" customHeight="1" x14ac:dyDescent="0.25">
      <c r="A48" s="24"/>
      <c r="B48" s="591"/>
      <c r="C48" s="550"/>
      <c r="D48" s="551"/>
      <c r="E48" s="223" t="s">
        <v>301</v>
      </c>
      <c r="F48" s="177" t="s">
        <v>139</v>
      </c>
      <c r="G48" s="592"/>
      <c r="H48" s="591"/>
      <c r="I48" s="166">
        <f t="shared" si="0"/>
        <v>4900.99</v>
      </c>
      <c r="J48" s="165">
        <f t="shared" si="26"/>
        <v>4900.99</v>
      </c>
      <c r="K48" s="37"/>
      <c r="M48" s="221">
        <v>4900.99</v>
      </c>
      <c r="N48" s="170">
        <f t="shared" si="9"/>
        <v>5146.0394999999999</v>
      </c>
    </row>
    <row r="49" spans="1:16" s="36" customFormat="1" ht="20.100000000000001" customHeight="1" x14ac:dyDescent="0.25">
      <c r="A49" s="24"/>
      <c r="B49" s="591"/>
      <c r="C49" s="550"/>
      <c r="D49" s="551"/>
      <c r="E49" s="223" t="s">
        <v>307</v>
      </c>
      <c r="F49" s="177" t="s">
        <v>36</v>
      </c>
      <c r="G49" s="592"/>
      <c r="H49" s="591"/>
      <c r="I49" s="166">
        <f t="shared" ref="I49:I52" si="28">J49-J49*$J$3</f>
        <v>4900.99</v>
      </c>
      <c r="J49" s="165">
        <f t="shared" ref="J49:J52" si="29">IF($J$2=$M$2,M49,N49)</f>
        <v>4900.99</v>
      </c>
      <c r="K49" s="37"/>
      <c r="M49" s="221">
        <v>4900.99</v>
      </c>
      <c r="N49" s="170">
        <f t="shared" ref="N49:N52" si="30">M49*1.05</f>
        <v>5146.0394999999999</v>
      </c>
    </row>
    <row r="50" spans="1:16" s="36" customFormat="1" ht="20.100000000000001" customHeight="1" x14ac:dyDescent="0.25">
      <c r="A50" s="24"/>
      <c r="B50" s="591"/>
      <c r="C50" s="550"/>
      <c r="D50" s="551"/>
      <c r="E50" s="223" t="s">
        <v>313</v>
      </c>
      <c r="F50" s="177" t="s">
        <v>37</v>
      </c>
      <c r="G50" s="592"/>
      <c r="H50" s="591"/>
      <c r="I50" s="166">
        <f t="shared" si="28"/>
        <v>4900.99</v>
      </c>
      <c r="J50" s="165">
        <f t="shared" si="29"/>
        <v>4900.99</v>
      </c>
      <c r="K50" s="37"/>
      <c r="M50" s="221">
        <v>4900.99</v>
      </c>
      <c r="N50" s="170">
        <f t="shared" si="30"/>
        <v>5146.0394999999999</v>
      </c>
    </row>
    <row r="51" spans="1:16" s="36" customFormat="1" ht="20.100000000000001" customHeight="1" x14ac:dyDescent="0.25">
      <c r="A51" s="24"/>
      <c r="B51" s="591"/>
      <c r="C51" s="550"/>
      <c r="D51" s="551"/>
      <c r="E51" s="223" t="s">
        <v>324</v>
      </c>
      <c r="F51" s="177" t="s">
        <v>245</v>
      </c>
      <c r="G51" s="592"/>
      <c r="H51" s="591"/>
      <c r="I51" s="166">
        <f t="shared" si="28"/>
        <v>4900.99</v>
      </c>
      <c r="J51" s="165">
        <f t="shared" si="29"/>
        <v>4900.99</v>
      </c>
      <c r="K51" s="37"/>
      <c r="M51" s="221">
        <v>4900.99</v>
      </c>
      <c r="N51" s="170">
        <f t="shared" si="30"/>
        <v>5146.0394999999999</v>
      </c>
    </row>
    <row r="52" spans="1:16" s="36" customFormat="1" ht="20.100000000000001" customHeight="1" x14ac:dyDescent="0.25">
      <c r="A52" s="24"/>
      <c r="B52" s="591"/>
      <c r="C52" s="550"/>
      <c r="D52" s="551"/>
      <c r="E52" s="223" t="s">
        <v>330</v>
      </c>
      <c r="F52" s="177" t="s">
        <v>246</v>
      </c>
      <c r="G52" s="592"/>
      <c r="H52" s="591"/>
      <c r="I52" s="166">
        <f t="shared" si="28"/>
        <v>4900.99</v>
      </c>
      <c r="J52" s="165">
        <f t="shared" si="29"/>
        <v>4900.99</v>
      </c>
      <c r="K52" s="37"/>
      <c r="M52" s="221">
        <v>4900.99</v>
      </c>
      <c r="N52" s="170">
        <f t="shared" si="30"/>
        <v>5146.0394999999999</v>
      </c>
    </row>
    <row r="53" spans="1:16" s="36" customFormat="1" ht="20.100000000000001" customHeight="1" x14ac:dyDescent="0.25">
      <c r="A53" s="24"/>
      <c r="B53" s="591"/>
      <c r="C53" s="550" t="s">
        <v>42</v>
      </c>
      <c r="D53" s="551" t="s">
        <v>33</v>
      </c>
      <c r="E53" s="223" t="s">
        <v>291</v>
      </c>
      <c r="F53" s="177" t="s">
        <v>243</v>
      </c>
      <c r="G53" s="592">
        <v>5.4</v>
      </c>
      <c r="H53" s="591" t="s">
        <v>34</v>
      </c>
      <c r="I53" s="166">
        <f t="shared" si="0"/>
        <v>2587.35</v>
      </c>
      <c r="J53" s="167">
        <f t="shared" ref="J53:J55" si="31">IF($J$2=$M$2,M53,N53)</f>
        <v>2587.35</v>
      </c>
      <c r="K53" s="37"/>
      <c r="M53" s="216">
        <v>2587.35</v>
      </c>
      <c r="N53" s="156">
        <f t="shared" si="9"/>
        <v>2716.7175000000002</v>
      </c>
    </row>
    <row r="54" spans="1:16" s="36" customFormat="1" ht="20.100000000000001" customHeight="1" x14ac:dyDescent="0.25">
      <c r="A54" s="24"/>
      <c r="B54" s="591"/>
      <c r="C54" s="550"/>
      <c r="D54" s="551"/>
      <c r="E54" s="223" t="s">
        <v>334</v>
      </c>
      <c r="F54" s="177" t="s">
        <v>138</v>
      </c>
      <c r="G54" s="592"/>
      <c r="H54" s="591"/>
      <c r="I54" s="166">
        <f t="shared" si="0"/>
        <v>2799.49</v>
      </c>
      <c r="J54" s="167">
        <f t="shared" si="31"/>
        <v>2799.49</v>
      </c>
      <c r="K54" s="37"/>
      <c r="M54" s="216">
        <v>2799.49</v>
      </c>
      <c r="N54" s="156">
        <f t="shared" si="9"/>
        <v>2939.4645</v>
      </c>
    </row>
    <row r="55" spans="1:16" s="36" customFormat="1" ht="20.100000000000001" customHeight="1" x14ac:dyDescent="0.25">
      <c r="A55" s="24"/>
      <c r="B55" s="591"/>
      <c r="C55" s="550"/>
      <c r="D55" s="551"/>
      <c r="E55" s="223" t="s">
        <v>298</v>
      </c>
      <c r="F55" s="177" t="s">
        <v>139</v>
      </c>
      <c r="G55" s="592"/>
      <c r="H55" s="591"/>
      <c r="I55" s="166">
        <f t="shared" si="0"/>
        <v>4473.74</v>
      </c>
      <c r="J55" s="167">
        <f t="shared" si="31"/>
        <v>4473.74</v>
      </c>
      <c r="K55" s="37"/>
      <c r="M55" s="221">
        <v>4473.74</v>
      </c>
      <c r="N55" s="170">
        <f t="shared" si="9"/>
        <v>4697.4269999999997</v>
      </c>
    </row>
    <row r="56" spans="1:16" s="36" customFormat="1" ht="20.100000000000001" customHeight="1" x14ac:dyDescent="0.25">
      <c r="A56" s="24"/>
      <c r="B56" s="591"/>
      <c r="C56" s="550"/>
      <c r="D56" s="551"/>
      <c r="E56" s="223" t="s">
        <v>304</v>
      </c>
      <c r="F56" s="177" t="s">
        <v>36</v>
      </c>
      <c r="G56" s="592"/>
      <c r="H56" s="591"/>
      <c r="I56" s="166">
        <f t="shared" ref="I56:I59" si="32">J56-J56*$J$3</f>
        <v>4473.74</v>
      </c>
      <c r="J56" s="167">
        <f t="shared" ref="J56:J59" si="33">IF($J$2=$M$2,M56,N56)</f>
        <v>4473.74</v>
      </c>
      <c r="K56" s="37"/>
      <c r="M56" s="221">
        <v>4473.74</v>
      </c>
      <c r="N56" s="170">
        <f t="shared" ref="N56:N59" si="34">M56*1.05</f>
        <v>4697.4269999999997</v>
      </c>
    </row>
    <row r="57" spans="1:16" s="36" customFormat="1" ht="20.100000000000001" customHeight="1" x14ac:dyDescent="0.25">
      <c r="A57" s="24"/>
      <c r="B57" s="591"/>
      <c r="C57" s="550"/>
      <c r="D57" s="551"/>
      <c r="E57" s="223" t="s">
        <v>310</v>
      </c>
      <c r="F57" s="177" t="s">
        <v>37</v>
      </c>
      <c r="G57" s="592"/>
      <c r="H57" s="591"/>
      <c r="I57" s="166">
        <f t="shared" si="32"/>
        <v>4473.74</v>
      </c>
      <c r="J57" s="167">
        <f t="shared" si="33"/>
        <v>4473.74</v>
      </c>
      <c r="K57" s="37"/>
      <c r="M57" s="221">
        <v>4473.74</v>
      </c>
      <c r="N57" s="170">
        <f t="shared" si="34"/>
        <v>4697.4269999999997</v>
      </c>
    </row>
    <row r="58" spans="1:16" s="36" customFormat="1" ht="20.100000000000001" customHeight="1" x14ac:dyDescent="0.25">
      <c r="A58" s="24"/>
      <c r="B58" s="591"/>
      <c r="C58" s="550"/>
      <c r="D58" s="551"/>
      <c r="E58" s="223" t="s">
        <v>321</v>
      </c>
      <c r="F58" s="177" t="s">
        <v>245</v>
      </c>
      <c r="G58" s="592"/>
      <c r="H58" s="591"/>
      <c r="I58" s="166">
        <f t="shared" si="32"/>
        <v>4473.74</v>
      </c>
      <c r="J58" s="167">
        <f t="shared" si="33"/>
        <v>4473.74</v>
      </c>
      <c r="K58" s="37"/>
      <c r="M58" s="221">
        <v>4473.74</v>
      </c>
      <c r="N58" s="170">
        <f t="shared" si="34"/>
        <v>4697.4269999999997</v>
      </c>
    </row>
    <row r="59" spans="1:16" s="36" customFormat="1" ht="20.100000000000001" customHeight="1" x14ac:dyDescent="0.25">
      <c r="A59" s="24"/>
      <c r="B59" s="591"/>
      <c r="C59" s="550"/>
      <c r="D59" s="551"/>
      <c r="E59" s="223" t="s">
        <v>327</v>
      </c>
      <c r="F59" s="177" t="s">
        <v>246</v>
      </c>
      <c r="G59" s="592"/>
      <c r="H59" s="591"/>
      <c r="I59" s="166">
        <f t="shared" si="32"/>
        <v>4473.74</v>
      </c>
      <c r="J59" s="167">
        <f t="shared" si="33"/>
        <v>4473.74</v>
      </c>
      <c r="K59" s="37"/>
      <c r="M59" s="221">
        <v>4473.74</v>
      </c>
      <c r="N59" s="170">
        <f t="shared" si="34"/>
        <v>4697.4269999999997</v>
      </c>
    </row>
    <row r="60" spans="1:16" s="36" customFormat="1" ht="20.100000000000001" customHeight="1" x14ac:dyDescent="0.25">
      <c r="A60" s="24"/>
      <c r="B60" s="591"/>
      <c r="C60" s="550" t="s">
        <v>356</v>
      </c>
      <c r="D60" s="551" t="s">
        <v>33</v>
      </c>
      <c r="E60" s="223" t="s">
        <v>340</v>
      </c>
      <c r="F60" s="177" t="s">
        <v>243</v>
      </c>
      <c r="G60" s="592">
        <v>5.4</v>
      </c>
      <c r="H60" s="591" t="s">
        <v>34</v>
      </c>
      <c r="I60" s="166">
        <f t="shared" si="0"/>
        <v>3138.31</v>
      </c>
      <c r="J60" s="165">
        <f t="shared" ref="J60:J63" si="35">IF($J$2=$M$2,M60,N60)</f>
        <v>3138.31</v>
      </c>
      <c r="K60" s="37"/>
      <c r="M60" s="216">
        <v>3138.31</v>
      </c>
      <c r="N60" s="156">
        <f>M60*1.05</f>
        <v>3295.2255</v>
      </c>
    </row>
    <row r="61" spans="1:16" s="36" customFormat="1" ht="20.100000000000001" customHeight="1" x14ac:dyDescent="0.25">
      <c r="A61" s="24"/>
      <c r="B61" s="591"/>
      <c r="C61" s="550"/>
      <c r="D61" s="551"/>
      <c r="E61" s="223" t="s">
        <v>342</v>
      </c>
      <c r="F61" s="177" t="s">
        <v>138</v>
      </c>
      <c r="G61" s="592"/>
      <c r="H61" s="591"/>
      <c r="I61" s="166">
        <f t="shared" ref="I61:I62" si="36">J61-J61*$J$3</f>
        <v>3165.1</v>
      </c>
      <c r="J61" s="165">
        <f t="shared" si="35"/>
        <v>3165.1</v>
      </c>
      <c r="K61" s="37"/>
      <c r="M61" s="216">
        <v>3165.1</v>
      </c>
      <c r="N61" s="156">
        <f t="shared" ref="N61:N62" si="37">M61*1.05</f>
        <v>3323.355</v>
      </c>
    </row>
    <row r="62" spans="1:16" s="36" customFormat="1" ht="20.100000000000001" customHeight="1" x14ac:dyDescent="0.25">
      <c r="A62" s="24"/>
      <c r="B62" s="591"/>
      <c r="C62" s="550"/>
      <c r="D62" s="551"/>
      <c r="E62" s="223" t="s">
        <v>353</v>
      </c>
      <c r="F62" s="177" t="s">
        <v>244</v>
      </c>
      <c r="G62" s="592"/>
      <c r="H62" s="591"/>
      <c r="I62" s="166">
        <f t="shared" si="36"/>
        <v>4543.6899999999996</v>
      </c>
      <c r="J62" s="165">
        <f t="shared" si="35"/>
        <v>4543.6899999999996</v>
      </c>
      <c r="K62" s="37"/>
      <c r="M62" s="217">
        <v>4543.6899999999996</v>
      </c>
      <c r="N62" s="156">
        <f t="shared" si="37"/>
        <v>4770.8744999999999</v>
      </c>
    </row>
    <row r="63" spans="1:16" s="36" customFormat="1" ht="20.100000000000001" customHeight="1" x14ac:dyDescent="0.25">
      <c r="A63" s="24"/>
      <c r="B63" s="591"/>
      <c r="C63" s="550"/>
      <c r="D63" s="551"/>
      <c r="E63" s="223" t="s">
        <v>345</v>
      </c>
      <c r="F63" s="177" t="s">
        <v>139</v>
      </c>
      <c r="G63" s="592"/>
      <c r="H63" s="591"/>
      <c r="I63" s="166">
        <f t="shared" si="0"/>
        <v>4543.6899999999996</v>
      </c>
      <c r="J63" s="165">
        <f t="shared" si="35"/>
        <v>4543.6899999999996</v>
      </c>
      <c r="K63" s="37"/>
      <c r="M63" s="222">
        <v>4543.6899999999996</v>
      </c>
      <c r="N63" s="170">
        <f t="shared" si="9"/>
        <v>4770.8744999999999</v>
      </c>
      <c r="P63" s="600"/>
    </row>
    <row r="64" spans="1:16" s="36" customFormat="1" ht="20.100000000000001" customHeight="1" x14ac:dyDescent="0.25">
      <c r="A64" s="24"/>
      <c r="B64" s="591"/>
      <c r="C64" s="550"/>
      <c r="D64" s="551"/>
      <c r="E64" s="223" t="s">
        <v>347</v>
      </c>
      <c r="F64" s="177" t="s">
        <v>36</v>
      </c>
      <c r="G64" s="592"/>
      <c r="H64" s="591"/>
      <c r="I64" s="166">
        <f t="shared" ref="I64:I67" si="38">J64-J64*$J$3</f>
        <v>4543.6899999999996</v>
      </c>
      <c r="J64" s="165">
        <f t="shared" ref="J64:J67" si="39">IF($J$2=$M$2,M64,N64)</f>
        <v>4543.6899999999996</v>
      </c>
      <c r="K64" s="37"/>
      <c r="M64" s="222">
        <v>4543.6899999999996</v>
      </c>
      <c r="N64" s="170">
        <f t="shared" ref="N64:N67" si="40">M64*1.05</f>
        <v>4770.8744999999999</v>
      </c>
      <c r="P64" s="600"/>
    </row>
    <row r="65" spans="1:16" s="36" customFormat="1" ht="20.100000000000001" customHeight="1" x14ac:dyDescent="0.25">
      <c r="A65" s="24"/>
      <c r="B65" s="591"/>
      <c r="C65" s="550"/>
      <c r="D65" s="551"/>
      <c r="E65" s="223" t="s">
        <v>351</v>
      </c>
      <c r="F65" s="177" t="s">
        <v>37</v>
      </c>
      <c r="G65" s="592"/>
      <c r="H65" s="591"/>
      <c r="I65" s="166">
        <f t="shared" si="38"/>
        <v>4543.6899999999996</v>
      </c>
      <c r="J65" s="165">
        <f t="shared" si="39"/>
        <v>4543.6899999999996</v>
      </c>
      <c r="K65" s="37"/>
      <c r="M65" s="222">
        <v>4543.6899999999996</v>
      </c>
      <c r="N65" s="170">
        <f t="shared" si="40"/>
        <v>4770.8744999999999</v>
      </c>
      <c r="P65" s="600"/>
    </row>
    <row r="66" spans="1:16" s="36" customFormat="1" ht="20.100000000000001" customHeight="1" x14ac:dyDescent="0.25">
      <c r="A66" s="24"/>
      <c r="B66" s="591"/>
      <c r="C66" s="550"/>
      <c r="D66" s="551"/>
      <c r="E66" s="223" t="s">
        <v>343</v>
      </c>
      <c r="F66" s="177" t="s">
        <v>245</v>
      </c>
      <c r="G66" s="592"/>
      <c r="H66" s="591"/>
      <c r="I66" s="166">
        <f t="shared" si="38"/>
        <v>4543.6899999999996</v>
      </c>
      <c r="J66" s="165">
        <f t="shared" si="39"/>
        <v>4543.6899999999996</v>
      </c>
      <c r="K66" s="37"/>
      <c r="M66" s="222">
        <v>4543.6899999999996</v>
      </c>
      <c r="N66" s="170">
        <f t="shared" si="40"/>
        <v>4770.8744999999999</v>
      </c>
      <c r="P66" s="600"/>
    </row>
    <row r="67" spans="1:16" s="36" customFormat="1" ht="20.100000000000001" customHeight="1" x14ac:dyDescent="0.25">
      <c r="A67" s="24"/>
      <c r="B67" s="591"/>
      <c r="C67" s="550"/>
      <c r="D67" s="551"/>
      <c r="E67" s="223" t="s">
        <v>349</v>
      </c>
      <c r="F67" s="177" t="s">
        <v>246</v>
      </c>
      <c r="G67" s="592"/>
      <c r="H67" s="591"/>
      <c r="I67" s="166">
        <f t="shared" si="38"/>
        <v>4543.6899999999996</v>
      </c>
      <c r="J67" s="165">
        <f t="shared" si="39"/>
        <v>4543.6899999999996</v>
      </c>
      <c r="K67" s="37"/>
      <c r="M67" s="222">
        <v>4543.6899999999996</v>
      </c>
      <c r="N67" s="170">
        <f t="shared" si="40"/>
        <v>4770.8744999999999</v>
      </c>
      <c r="P67" s="600"/>
    </row>
    <row r="68" spans="1:16" s="36" customFormat="1" ht="30" customHeight="1" x14ac:dyDescent="0.25">
      <c r="A68" s="24"/>
      <c r="B68" s="160"/>
      <c r="C68" s="163" t="s">
        <v>162</v>
      </c>
      <c r="D68" s="158" t="s">
        <v>39</v>
      </c>
      <c r="E68" s="223" t="s">
        <v>339</v>
      </c>
      <c r="F68" s="177" t="s">
        <v>161</v>
      </c>
      <c r="G68" s="159">
        <v>5.4</v>
      </c>
      <c r="H68" s="160" t="s">
        <v>34</v>
      </c>
      <c r="I68" s="166">
        <f t="shared" si="0"/>
        <v>914.91</v>
      </c>
      <c r="J68" s="165">
        <f>IF($J$2=$M$2,M68,N68)</f>
        <v>914.91</v>
      </c>
      <c r="K68" s="37"/>
      <c r="M68" s="216">
        <v>914.91</v>
      </c>
      <c r="N68" s="156">
        <f t="shared" si="9"/>
        <v>960.65549999999996</v>
      </c>
    </row>
    <row r="69" spans="1:16" s="36" customFormat="1" ht="20.100000000000001" customHeight="1" x14ac:dyDescent="0.25">
      <c r="A69" s="24"/>
      <c r="B69" s="591"/>
      <c r="C69" s="550" t="s">
        <v>256</v>
      </c>
      <c r="D69" s="551" t="s">
        <v>39</v>
      </c>
      <c r="E69" s="223" t="s">
        <v>338</v>
      </c>
      <c r="F69" s="177" t="s">
        <v>243</v>
      </c>
      <c r="G69" s="592">
        <v>5.4</v>
      </c>
      <c r="H69" s="591" t="s">
        <v>34</v>
      </c>
      <c r="I69" s="166">
        <f t="shared" si="0"/>
        <v>1924.21</v>
      </c>
      <c r="J69" s="165">
        <f>IF($J$2=$M$2,M69,N69)</f>
        <v>1924.21</v>
      </c>
      <c r="K69" s="37"/>
      <c r="M69" s="216">
        <v>1924.21</v>
      </c>
      <c r="N69" s="156">
        <f t="shared" si="9"/>
        <v>2020.4205000000002</v>
      </c>
    </row>
    <row r="70" spans="1:16" s="36" customFormat="1" ht="20.100000000000001" customHeight="1" x14ac:dyDescent="0.25">
      <c r="A70" s="24"/>
      <c r="B70" s="591"/>
      <c r="C70" s="550"/>
      <c r="D70" s="551"/>
      <c r="E70" s="223" t="s">
        <v>341</v>
      </c>
      <c r="F70" s="177" t="s">
        <v>138</v>
      </c>
      <c r="G70" s="592"/>
      <c r="H70" s="591"/>
      <c r="I70" s="166">
        <f t="shared" si="0"/>
        <v>2088.23</v>
      </c>
      <c r="J70" s="165">
        <f>IF($J$2=$M$2,M70,N70)</f>
        <v>2088.23</v>
      </c>
      <c r="K70" s="37"/>
      <c r="M70" s="216">
        <v>2088.23</v>
      </c>
      <c r="N70" s="156">
        <f t="shared" si="9"/>
        <v>2192.6415000000002</v>
      </c>
    </row>
    <row r="71" spans="1:16" s="36" customFormat="1" ht="20.100000000000001" customHeight="1" x14ac:dyDescent="0.25">
      <c r="A71" s="24"/>
      <c r="B71" s="591"/>
      <c r="C71" s="550"/>
      <c r="D71" s="551"/>
      <c r="E71" s="223" t="s">
        <v>354</v>
      </c>
      <c r="F71" s="177" t="s">
        <v>244</v>
      </c>
      <c r="G71" s="592"/>
      <c r="H71" s="591"/>
      <c r="I71" s="166">
        <f>J71-J71*$J$3</f>
        <v>2161.73</v>
      </c>
      <c r="J71" s="165">
        <f>IF($J$2=$M$2,M71,N71)</f>
        <v>2161.73</v>
      </c>
      <c r="K71" s="37"/>
      <c r="M71" s="222">
        <v>2161.73</v>
      </c>
      <c r="N71" s="170">
        <f>M71*1.05</f>
        <v>2269.8164999999999</v>
      </c>
    </row>
    <row r="72" spans="1:16" s="36" customFormat="1" ht="20.100000000000001" customHeight="1" x14ac:dyDescent="0.25">
      <c r="A72" s="24"/>
      <c r="B72" s="591"/>
      <c r="C72" s="550"/>
      <c r="D72" s="551"/>
      <c r="E72" s="223" t="s">
        <v>346</v>
      </c>
      <c r="F72" s="177" t="s">
        <v>139</v>
      </c>
      <c r="G72" s="592"/>
      <c r="H72" s="591"/>
      <c r="I72" s="166">
        <f t="shared" ref="I72:I76" si="41">J72-J72*$J$3</f>
        <v>2161.73</v>
      </c>
      <c r="J72" s="165">
        <f t="shared" ref="J72:J76" si="42">IF($J$2=$M$2,M72,N72)</f>
        <v>2161.73</v>
      </c>
      <c r="K72" s="37"/>
      <c r="M72" s="222">
        <v>2161.73</v>
      </c>
      <c r="N72" s="170">
        <f t="shared" ref="N72:N76" si="43">M72*1.05</f>
        <v>2269.8164999999999</v>
      </c>
    </row>
    <row r="73" spans="1:16" s="36" customFormat="1" ht="20.100000000000001" customHeight="1" x14ac:dyDescent="0.25">
      <c r="A73" s="24"/>
      <c r="B73" s="591"/>
      <c r="C73" s="550"/>
      <c r="D73" s="551"/>
      <c r="E73" s="223" t="s">
        <v>348</v>
      </c>
      <c r="F73" s="177" t="s">
        <v>36</v>
      </c>
      <c r="G73" s="592"/>
      <c r="H73" s="591"/>
      <c r="I73" s="166">
        <f t="shared" si="41"/>
        <v>2161.73</v>
      </c>
      <c r="J73" s="165">
        <f t="shared" si="42"/>
        <v>2161.73</v>
      </c>
      <c r="K73" s="37"/>
      <c r="M73" s="222">
        <v>2161.73</v>
      </c>
      <c r="N73" s="170">
        <f t="shared" si="43"/>
        <v>2269.8164999999999</v>
      </c>
    </row>
    <row r="74" spans="1:16" s="36" customFormat="1" ht="20.100000000000001" customHeight="1" x14ac:dyDescent="0.25">
      <c r="A74" s="24"/>
      <c r="B74" s="591"/>
      <c r="C74" s="550"/>
      <c r="D74" s="551"/>
      <c r="E74" s="223" t="s">
        <v>352</v>
      </c>
      <c r="F74" s="177" t="s">
        <v>37</v>
      </c>
      <c r="G74" s="592"/>
      <c r="H74" s="591"/>
      <c r="I74" s="166">
        <f t="shared" si="41"/>
        <v>2161.73</v>
      </c>
      <c r="J74" s="165">
        <f t="shared" si="42"/>
        <v>2161.73</v>
      </c>
      <c r="K74" s="37"/>
      <c r="M74" s="222">
        <v>2161.73</v>
      </c>
      <c r="N74" s="170">
        <f t="shared" si="43"/>
        <v>2269.8164999999999</v>
      </c>
    </row>
    <row r="75" spans="1:16" s="36" customFormat="1" ht="20.100000000000001" customHeight="1" x14ac:dyDescent="0.25">
      <c r="A75" s="24"/>
      <c r="B75" s="591"/>
      <c r="C75" s="550"/>
      <c r="D75" s="551"/>
      <c r="E75" s="223" t="s">
        <v>344</v>
      </c>
      <c r="F75" s="177" t="s">
        <v>245</v>
      </c>
      <c r="G75" s="592"/>
      <c r="H75" s="591"/>
      <c r="I75" s="166">
        <f t="shared" si="41"/>
        <v>2161.73</v>
      </c>
      <c r="J75" s="165">
        <f t="shared" si="42"/>
        <v>2161.73</v>
      </c>
      <c r="K75" s="37"/>
      <c r="M75" s="222">
        <v>2161.73</v>
      </c>
      <c r="N75" s="170">
        <f t="shared" si="43"/>
        <v>2269.8164999999999</v>
      </c>
    </row>
    <row r="76" spans="1:16" s="36" customFormat="1" ht="20.100000000000001" customHeight="1" x14ac:dyDescent="0.25">
      <c r="A76" s="24"/>
      <c r="B76" s="591"/>
      <c r="C76" s="550"/>
      <c r="D76" s="551"/>
      <c r="E76" s="223" t="s">
        <v>350</v>
      </c>
      <c r="F76" s="177" t="s">
        <v>246</v>
      </c>
      <c r="G76" s="592"/>
      <c r="H76" s="591"/>
      <c r="I76" s="166">
        <f t="shared" si="41"/>
        <v>2161.73</v>
      </c>
      <c r="J76" s="165">
        <f t="shared" si="42"/>
        <v>2161.73</v>
      </c>
      <c r="K76" s="37"/>
      <c r="M76" s="222">
        <v>2161.73</v>
      </c>
      <c r="N76" s="170">
        <f t="shared" si="43"/>
        <v>2269.8164999999999</v>
      </c>
    </row>
    <row r="77" spans="1:16" s="36" customFormat="1" ht="18" customHeight="1" x14ac:dyDescent="0.25">
      <c r="A77" s="24"/>
      <c r="B77" s="231" t="s">
        <v>43</v>
      </c>
      <c r="C77" s="231"/>
      <c r="D77" s="231"/>
      <c r="E77" s="231"/>
      <c r="F77" s="231"/>
      <c r="G77" s="231"/>
      <c r="H77" s="231"/>
      <c r="I77" s="231"/>
      <c r="J77" s="231"/>
      <c r="K77" s="37"/>
      <c r="M77" s="213">
        <v>0</v>
      </c>
      <c r="N77" s="214"/>
    </row>
    <row r="78" spans="1:16" s="36" customFormat="1" ht="20.100000000000001" customHeight="1" x14ac:dyDescent="0.25">
      <c r="A78" s="24"/>
      <c r="B78" s="549"/>
      <c r="C78" s="550" t="s">
        <v>44</v>
      </c>
      <c r="D78" s="601" t="s">
        <v>45</v>
      </c>
      <c r="E78" s="223" t="s">
        <v>366</v>
      </c>
      <c r="F78" s="177" t="s">
        <v>243</v>
      </c>
      <c r="G78" s="552"/>
      <c r="H78" s="553" t="s">
        <v>34</v>
      </c>
      <c r="I78" s="166">
        <f>J78-J78*$J$3</f>
        <v>321.35000000000002</v>
      </c>
      <c r="J78" s="165">
        <f t="shared" ref="J78:J116" si="44">IF($J$2=$M$2,M78,N78)</f>
        <v>321.35000000000002</v>
      </c>
      <c r="K78" s="37"/>
      <c r="M78" s="229">
        <v>321.35000000000002</v>
      </c>
      <c r="N78" s="170">
        <f t="shared" ref="N78:N99" si="45">M78*1.05</f>
        <v>337.41750000000002</v>
      </c>
    </row>
    <row r="79" spans="1:16" s="36" customFormat="1" ht="20.100000000000001" customHeight="1" x14ac:dyDescent="0.25">
      <c r="A79" s="24"/>
      <c r="B79" s="549"/>
      <c r="C79" s="550"/>
      <c r="D79" s="601"/>
      <c r="E79" s="223" t="s">
        <v>422</v>
      </c>
      <c r="F79" s="177" t="s">
        <v>138</v>
      </c>
      <c r="G79" s="552"/>
      <c r="H79" s="553"/>
      <c r="I79" s="166">
        <f t="shared" ref="I79:I80" si="46">J79-J79*$J$3</f>
        <v>321.35000000000002</v>
      </c>
      <c r="J79" s="165">
        <f t="shared" ref="J79:J80" si="47">IF($J$2=$M$2,M79,N79)</f>
        <v>321.35000000000002</v>
      </c>
      <c r="K79" s="37"/>
      <c r="M79" s="229">
        <v>321.35000000000002</v>
      </c>
      <c r="N79" s="170">
        <f t="shared" ref="N79:N80" si="48">M79*1.05</f>
        <v>337.41750000000002</v>
      </c>
    </row>
    <row r="80" spans="1:16" s="36" customFormat="1" ht="20.100000000000001" customHeight="1" x14ac:dyDescent="0.25">
      <c r="A80" s="24"/>
      <c r="B80" s="549"/>
      <c r="C80" s="550"/>
      <c r="D80" s="601"/>
      <c r="E80" s="223" t="s">
        <v>412</v>
      </c>
      <c r="F80" s="177" t="s">
        <v>142</v>
      </c>
      <c r="G80" s="552"/>
      <c r="H80" s="553"/>
      <c r="I80" s="166">
        <f t="shared" si="46"/>
        <v>321.35000000000002</v>
      </c>
      <c r="J80" s="165">
        <f t="shared" si="47"/>
        <v>321.35000000000002</v>
      </c>
      <c r="K80" s="37"/>
      <c r="M80" s="229">
        <v>321.35000000000002</v>
      </c>
      <c r="N80" s="170">
        <f t="shared" si="48"/>
        <v>337.41750000000002</v>
      </c>
    </row>
    <row r="81" spans="1:14" s="36" customFormat="1" ht="40.049999999999997" customHeight="1" x14ac:dyDescent="0.25">
      <c r="A81" s="24"/>
      <c r="B81" s="161"/>
      <c r="C81" s="163" t="s">
        <v>46</v>
      </c>
      <c r="D81" s="158" t="s">
        <v>47</v>
      </c>
      <c r="E81" s="223" t="s">
        <v>367</v>
      </c>
      <c r="F81" s="177" t="s">
        <v>243</v>
      </c>
      <c r="G81" s="171"/>
      <c r="H81" s="172" t="s">
        <v>34</v>
      </c>
      <c r="I81" s="166">
        <f>J81-J81*$J$3</f>
        <v>1575.77</v>
      </c>
      <c r="J81" s="165">
        <f t="shared" si="44"/>
        <v>1575.77</v>
      </c>
      <c r="K81" s="37"/>
      <c r="M81" s="216">
        <v>1575.77</v>
      </c>
      <c r="N81" s="165">
        <f t="shared" si="45"/>
        <v>1654.5585000000001</v>
      </c>
    </row>
    <row r="82" spans="1:14" s="36" customFormat="1" ht="20.100000000000001" customHeight="1" x14ac:dyDescent="0.25">
      <c r="A82" s="24"/>
      <c r="B82" s="549"/>
      <c r="C82" s="550" t="s">
        <v>48</v>
      </c>
      <c r="D82" s="551" t="s">
        <v>49</v>
      </c>
      <c r="E82" s="223" t="s">
        <v>368</v>
      </c>
      <c r="F82" s="177" t="s">
        <v>243</v>
      </c>
      <c r="G82" s="552"/>
      <c r="H82" s="553" t="s">
        <v>50</v>
      </c>
      <c r="I82" s="166">
        <f>J82-J82*$J$3</f>
        <v>67.09</v>
      </c>
      <c r="J82" s="165">
        <f t="shared" si="44"/>
        <v>67.09</v>
      </c>
      <c r="K82" s="37"/>
      <c r="M82" s="229">
        <v>67.09</v>
      </c>
      <c r="N82" s="170">
        <f t="shared" si="45"/>
        <v>70.444500000000005</v>
      </c>
    </row>
    <row r="83" spans="1:14" s="36" customFormat="1" ht="20.100000000000001" customHeight="1" x14ac:dyDescent="0.25">
      <c r="A83" s="24"/>
      <c r="B83" s="549"/>
      <c r="C83" s="550"/>
      <c r="D83" s="551"/>
      <c r="E83" s="223" t="s">
        <v>423</v>
      </c>
      <c r="F83" s="177" t="s">
        <v>138</v>
      </c>
      <c r="G83" s="552"/>
      <c r="H83" s="553"/>
      <c r="I83" s="166">
        <f t="shared" ref="I83:I84" si="49">J83-J83*$J$3</f>
        <v>67.09</v>
      </c>
      <c r="J83" s="165">
        <f t="shared" ref="J83:J84" si="50">IF($J$2=$M$2,M83,N83)</f>
        <v>67.09</v>
      </c>
      <c r="K83" s="37"/>
      <c r="M83" s="229">
        <v>67.09</v>
      </c>
      <c r="N83" s="170">
        <f t="shared" ref="N83:N84" si="51">M83*1.05</f>
        <v>70.444500000000005</v>
      </c>
    </row>
    <row r="84" spans="1:14" s="36" customFormat="1" ht="20.100000000000001" customHeight="1" x14ac:dyDescent="0.25">
      <c r="A84" s="24"/>
      <c r="B84" s="549"/>
      <c r="C84" s="550"/>
      <c r="D84" s="551"/>
      <c r="E84" s="223" t="s">
        <v>413</v>
      </c>
      <c r="F84" s="177" t="s">
        <v>142</v>
      </c>
      <c r="G84" s="552"/>
      <c r="H84" s="553"/>
      <c r="I84" s="166">
        <f t="shared" si="49"/>
        <v>67.09</v>
      </c>
      <c r="J84" s="165">
        <f t="shared" si="50"/>
        <v>67.09</v>
      </c>
      <c r="K84" s="37"/>
      <c r="M84" s="229">
        <v>67.09</v>
      </c>
      <c r="N84" s="170">
        <f t="shared" si="51"/>
        <v>70.444500000000005</v>
      </c>
    </row>
    <row r="85" spans="1:14" s="40" customFormat="1" ht="20.100000000000001" customHeight="1" x14ac:dyDescent="0.25">
      <c r="B85" s="588"/>
      <c r="C85" s="550" t="s">
        <v>229</v>
      </c>
      <c r="D85" s="589"/>
      <c r="E85" s="223" t="s">
        <v>405</v>
      </c>
      <c r="F85" s="177" t="s">
        <v>243</v>
      </c>
      <c r="G85" s="590"/>
      <c r="H85" s="589" t="s">
        <v>34</v>
      </c>
      <c r="I85" s="178">
        <f>J85-J85*$J$3</f>
        <v>189.42</v>
      </c>
      <c r="J85" s="165">
        <f t="shared" si="44"/>
        <v>189.42</v>
      </c>
      <c r="K85" s="37"/>
      <c r="L85" s="36"/>
      <c r="M85" s="221">
        <v>189.42</v>
      </c>
      <c r="N85" s="170">
        <f t="shared" si="45"/>
        <v>198.89099999999999</v>
      </c>
    </row>
    <row r="86" spans="1:14" s="40" customFormat="1" ht="20.100000000000001" customHeight="1" x14ac:dyDescent="0.25">
      <c r="B86" s="588"/>
      <c r="C86" s="550"/>
      <c r="D86" s="589"/>
      <c r="E86" s="223" t="s">
        <v>404</v>
      </c>
      <c r="F86" s="177" t="s">
        <v>359</v>
      </c>
      <c r="G86" s="590"/>
      <c r="H86" s="589"/>
      <c r="I86" s="178">
        <f t="shared" ref="I86:I88" si="52">J86-J86*$J$3</f>
        <v>189.42</v>
      </c>
      <c r="J86" s="165">
        <f t="shared" ref="J86:J88" si="53">IF($J$2=$M$2,M86,N86)</f>
        <v>189.42</v>
      </c>
      <c r="K86" s="37"/>
      <c r="L86" s="36"/>
      <c r="M86" s="221">
        <v>189.42</v>
      </c>
      <c r="N86" s="170">
        <f t="shared" ref="N86:N88" si="54">M86*1.05</f>
        <v>198.89099999999999</v>
      </c>
    </row>
    <row r="87" spans="1:14" s="40" customFormat="1" ht="20.100000000000001" customHeight="1" x14ac:dyDescent="0.25">
      <c r="B87" s="588"/>
      <c r="C87" s="550"/>
      <c r="D87" s="589"/>
      <c r="E87" s="223" t="s">
        <v>420</v>
      </c>
      <c r="F87" s="177" t="s">
        <v>358</v>
      </c>
      <c r="G87" s="590"/>
      <c r="H87" s="589"/>
      <c r="I87" s="178">
        <f t="shared" si="52"/>
        <v>189.42</v>
      </c>
      <c r="J87" s="165">
        <f t="shared" si="53"/>
        <v>189.42</v>
      </c>
      <c r="K87" s="37"/>
      <c r="L87" s="36"/>
      <c r="M87" s="221">
        <v>189.42</v>
      </c>
      <c r="N87" s="170">
        <f t="shared" si="54"/>
        <v>198.89099999999999</v>
      </c>
    </row>
    <row r="88" spans="1:14" s="40" customFormat="1" ht="20.100000000000001" customHeight="1" x14ac:dyDescent="0.25">
      <c r="B88" s="588"/>
      <c r="C88" s="550"/>
      <c r="D88" s="589"/>
      <c r="E88" s="223" t="s">
        <v>432</v>
      </c>
      <c r="F88" s="177" t="s">
        <v>357</v>
      </c>
      <c r="G88" s="590"/>
      <c r="H88" s="589"/>
      <c r="I88" s="178">
        <f t="shared" si="52"/>
        <v>189.42</v>
      </c>
      <c r="J88" s="165">
        <f t="shared" si="53"/>
        <v>189.42</v>
      </c>
      <c r="K88" s="37"/>
      <c r="L88" s="36"/>
      <c r="M88" s="221">
        <v>189.42</v>
      </c>
      <c r="N88" s="170">
        <f t="shared" si="54"/>
        <v>198.89099999999999</v>
      </c>
    </row>
    <row r="89" spans="1:14" s="40" customFormat="1" ht="20.100000000000001" customHeight="1" x14ac:dyDescent="0.25">
      <c r="B89" s="572"/>
      <c r="C89" s="554" t="s">
        <v>144</v>
      </c>
      <c r="D89" s="174" t="s">
        <v>145</v>
      </c>
      <c r="E89" s="223" t="s">
        <v>374</v>
      </c>
      <c r="F89" s="177" t="s">
        <v>243</v>
      </c>
      <c r="G89" s="578"/>
      <c r="H89" s="575" t="s">
        <v>34</v>
      </c>
      <c r="I89" s="166">
        <f>J89-J89*$J$3</f>
        <v>2051.09</v>
      </c>
      <c r="J89" s="165">
        <f t="shared" si="44"/>
        <v>2051.09</v>
      </c>
      <c r="K89" s="37"/>
      <c r="L89" s="36"/>
      <c r="M89" s="216">
        <v>2051.09</v>
      </c>
      <c r="N89" s="156">
        <f t="shared" si="45"/>
        <v>2153.6445000000003</v>
      </c>
    </row>
    <row r="90" spans="1:14" s="40" customFormat="1" ht="20.100000000000001" customHeight="1" x14ac:dyDescent="0.25">
      <c r="B90" s="573"/>
      <c r="C90" s="559"/>
      <c r="D90" s="176"/>
      <c r="E90" s="223" t="s">
        <v>373</v>
      </c>
      <c r="F90" s="177" t="s">
        <v>361</v>
      </c>
      <c r="G90" s="579"/>
      <c r="H90" s="576"/>
      <c r="I90" s="166">
        <f t="shared" ref="I90:I91" si="55">J90-J90*$J$3</f>
        <v>2051.09</v>
      </c>
      <c r="J90" s="165">
        <f t="shared" ref="J90:J91" si="56">IF($J$2=$M$2,M90,N90)</f>
        <v>2051.09</v>
      </c>
      <c r="K90" s="37"/>
      <c r="L90" s="36"/>
      <c r="M90" s="216">
        <v>2051.09</v>
      </c>
      <c r="N90" s="165">
        <f t="shared" ref="N90:N91" si="57">M90*1.05</f>
        <v>2153.6445000000003</v>
      </c>
    </row>
    <row r="91" spans="1:14" s="40" customFormat="1" ht="20.100000000000001" customHeight="1" x14ac:dyDescent="0.25">
      <c r="B91" s="574"/>
      <c r="C91" s="555"/>
      <c r="D91" s="176"/>
      <c r="E91" s="223" t="s">
        <v>375</v>
      </c>
      <c r="F91" s="177" t="s">
        <v>360</v>
      </c>
      <c r="G91" s="580"/>
      <c r="H91" s="577"/>
      <c r="I91" s="166">
        <f t="shared" si="55"/>
        <v>2051.09</v>
      </c>
      <c r="J91" s="165">
        <f t="shared" si="56"/>
        <v>2051.09</v>
      </c>
      <c r="K91" s="37"/>
      <c r="L91" s="36"/>
      <c r="M91" s="216">
        <v>2051.09</v>
      </c>
      <c r="N91" s="165">
        <f t="shared" si="57"/>
        <v>2153.6445000000003</v>
      </c>
    </row>
    <row r="92" spans="1:14" s="40" customFormat="1" ht="20.100000000000001" customHeight="1" x14ac:dyDescent="0.25">
      <c r="B92" s="572"/>
      <c r="C92" s="554" t="s">
        <v>146</v>
      </c>
      <c r="D92" s="174" t="s">
        <v>145</v>
      </c>
      <c r="E92" s="223" t="s">
        <v>370</v>
      </c>
      <c r="F92" s="177" t="s">
        <v>243</v>
      </c>
      <c r="G92" s="578"/>
      <c r="H92" s="575" t="s">
        <v>34</v>
      </c>
      <c r="I92" s="166">
        <f>J92-J92*$J$3</f>
        <v>2051.09</v>
      </c>
      <c r="J92" s="165">
        <f t="shared" si="44"/>
        <v>2051.09</v>
      </c>
      <c r="K92" s="37"/>
      <c r="L92" s="36"/>
      <c r="M92" s="216">
        <v>2051.09</v>
      </c>
      <c r="N92" s="156">
        <f t="shared" si="45"/>
        <v>2153.6445000000003</v>
      </c>
    </row>
    <row r="93" spans="1:14" s="40" customFormat="1" ht="20.100000000000001" customHeight="1" x14ac:dyDescent="0.25">
      <c r="B93" s="573"/>
      <c r="C93" s="559"/>
      <c r="D93" s="176"/>
      <c r="E93" s="223" t="s">
        <v>371</v>
      </c>
      <c r="F93" s="177" t="s">
        <v>361</v>
      </c>
      <c r="G93" s="579"/>
      <c r="H93" s="576"/>
      <c r="I93" s="166">
        <f t="shared" ref="I93:I94" si="58">J93-J93*$J$3</f>
        <v>2051.09</v>
      </c>
      <c r="J93" s="165">
        <f t="shared" ref="J93:J94" si="59">IF($J$2=$M$2,M93,N93)</f>
        <v>2051.09</v>
      </c>
      <c r="K93" s="37"/>
      <c r="L93" s="36"/>
      <c r="M93" s="216">
        <v>2051.09</v>
      </c>
      <c r="N93" s="165">
        <f t="shared" ref="N93:N94" si="60">M93*1.05</f>
        <v>2153.6445000000003</v>
      </c>
    </row>
    <row r="94" spans="1:14" s="40" customFormat="1" ht="20.100000000000001" customHeight="1" x14ac:dyDescent="0.25">
      <c r="B94" s="574"/>
      <c r="C94" s="555"/>
      <c r="D94" s="176"/>
      <c r="E94" s="223" t="s">
        <v>372</v>
      </c>
      <c r="F94" s="177" t="s">
        <v>360</v>
      </c>
      <c r="G94" s="580"/>
      <c r="H94" s="577"/>
      <c r="I94" s="166">
        <f t="shared" si="58"/>
        <v>2051.09</v>
      </c>
      <c r="J94" s="165">
        <f t="shared" si="59"/>
        <v>2051.09</v>
      </c>
      <c r="K94" s="37"/>
      <c r="L94" s="36"/>
      <c r="M94" s="216">
        <v>2051.09</v>
      </c>
      <c r="N94" s="165">
        <f t="shared" si="60"/>
        <v>2153.6445000000003</v>
      </c>
    </row>
    <row r="95" spans="1:14" s="40" customFormat="1" ht="40.049999999999997" customHeight="1" x14ac:dyDescent="0.25">
      <c r="B95" s="173"/>
      <c r="C95" s="163" t="s">
        <v>53</v>
      </c>
      <c r="D95" s="174" t="s">
        <v>54</v>
      </c>
      <c r="E95" s="223" t="s">
        <v>376</v>
      </c>
      <c r="F95" s="177" t="s">
        <v>55</v>
      </c>
      <c r="G95" s="175"/>
      <c r="H95" s="161" t="s">
        <v>56</v>
      </c>
      <c r="I95" s="166">
        <f>J95-J95*$J$3</f>
        <v>173.72</v>
      </c>
      <c r="J95" s="165">
        <f t="shared" si="44"/>
        <v>173.72</v>
      </c>
      <c r="K95" s="37"/>
      <c r="L95" s="36"/>
      <c r="M95" s="218">
        <v>173.72</v>
      </c>
      <c r="N95" s="156">
        <f t="shared" si="45"/>
        <v>182.40600000000001</v>
      </c>
    </row>
    <row r="96" spans="1:14" s="40" customFormat="1" ht="40.049999999999997" customHeight="1" x14ac:dyDescent="0.25">
      <c r="B96" s="173"/>
      <c r="C96" s="163" t="s">
        <v>267</v>
      </c>
      <c r="D96" s="158" t="s">
        <v>57</v>
      </c>
      <c r="E96" s="223" t="s">
        <v>381</v>
      </c>
      <c r="F96" s="177" t="s">
        <v>243</v>
      </c>
      <c r="G96" s="175"/>
      <c r="H96" s="172" t="s">
        <v>34</v>
      </c>
      <c r="I96" s="166">
        <f>J96-J96*$J$3</f>
        <v>151.61000000000001</v>
      </c>
      <c r="J96" s="165">
        <f t="shared" si="44"/>
        <v>151.61000000000001</v>
      </c>
      <c r="K96" s="37"/>
      <c r="L96" s="36"/>
      <c r="M96" s="218">
        <v>151.61000000000001</v>
      </c>
      <c r="N96" s="156">
        <f t="shared" si="45"/>
        <v>159.19050000000001</v>
      </c>
    </row>
    <row r="97" spans="1:14" s="40" customFormat="1" ht="20.100000000000001" customHeight="1" x14ac:dyDescent="0.25">
      <c r="B97" s="572"/>
      <c r="C97" s="554" t="s">
        <v>183</v>
      </c>
      <c r="D97" s="164"/>
      <c r="E97" s="223" t="s">
        <v>369</v>
      </c>
      <c r="F97" s="177" t="s">
        <v>243</v>
      </c>
      <c r="G97" s="578"/>
      <c r="H97" s="575"/>
      <c r="I97" s="166">
        <f t="shared" ref="I97:I99" si="61">J97-J97*$J$3</f>
        <v>298.17</v>
      </c>
      <c r="J97" s="165">
        <f t="shared" ref="J97:J99" si="62">IF($J$2=$M$2,M97,N97)</f>
        <v>298.17</v>
      </c>
      <c r="K97" s="37"/>
      <c r="L97" s="36"/>
      <c r="M97" s="230">
        <v>298.17</v>
      </c>
      <c r="N97" s="165">
        <f t="shared" si="45"/>
        <v>313.07850000000002</v>
      </c>
    </row>
    <row r="98" spans="1:14" s="40" customFormat="1" ht="20.100000000000001" customHeight="1" x14ac:dyDescent="0.25">
      <c r="B98" s="573"/>
      <c r="C98" s="559"/>
      <c r="D98" s="164"/>
      <c r="E98" s="223" t="s">
        <v>426</v>
      </c>
      <c r="F98" s="177" t="s">
        <v>138</v>
      </c>
      <c r="G98" s="579"/>
      <c r="H98" s="576"/>
      <c r="I98" s="166">
        <f t="shared" si="61"/>
        <v>298.17</v>
      </c>
      <c r="J98" s="165">
        <f t="shared" si="62"/>
        <v>298.17</v>
      </c>
      <c r="K98" s="37"/>
      <c r="L98" s="36"/>
      <c r="M98" s="230">
        <v>298.17</v>
      </c>
      <c r="N98" s="165">
        <f t="shared" si="45"/>
        <v>313.07850000000002</v>
      </c>
    </row>
    <row r="99" spans="1:14" s="40" customFormat="1" ht="20.100000000000001" customHeight="1" x14ac:dyDescent="0.25">
      <c r="B99" s="574"/>
      <c r="C99" s="555"/>
      <c r="D99" s="164"/>
      <c r="E99" s="223" t="s">
        <v>425</v>
      </c>
      <c r="F99" s="177" t="s">
        <v>143</v>
      </c>
      <c r="G99" s="580"/>
      <c r="H99" s="577"/>
      <c r="I99" s="166">
        <f t="shared" si="61"/>
        <v>298.17</v>
      </c>
      <c r="J99" s="165">
        <f t="shared" si="62"/>
        <v>298.17</v>
      </c>
      <c r="K99" s="37"/>
      <c r="L99" s="36"/>
      <c r="M99" s="230">
        <v>298.17</v>
      </c>
      <c r="N99" s="165">
        <f t="shared" si="45"/>
        <v>313.07850000000002</v>
      </c>
    </row>
    <row r="100" spans="1:14" s="36" customFormat="1" ht="20.100000000000001" customHeight="1" x14ac:dyDescent="0.25">
      <c r="A100" s="24"/>
      <c r="B100" s="549"/>
      <c r="C100" s="550" t="s">
        <v>58</v>
      </c>
      <c r="D100" s="551" t="s">
        <v>51</v>
      </c>
      <c r="E100" s="223" t="s">
        <v>382</v>
      </c>
      <c r="F100" s="177" t="s">
        <v>243</v>
      </c>
      <c r="G100" s="552"/>
      <c r="H100" s="553" t="s">
        <v>52</v>
      </c>
      <c r="I100" s="166">
        <f>J100-J100*$J$3</f>
        <v>587.02</v>
      </c>
      <c r="J100" s="165">
        <f t="shared" si="44"/>
        <v>587.02</v>
      </c>
      <c r="K100" s="37"/>
      <c r="M100" s="229">
        <v>587.02</v>
      </c>
      <c r="N100" s="170">
        <f t="shared" ref="N100:N140" si="63">M100*1.05</f>
        <v>616.37099999999998</v>
      </c>
    </row>
    <row r="101" spans="1:14" s="36" customFormat="1" ht="20.100000000000001" customHeight="1" x14ac:dyDescent="0.25">
      <c r="A101" s="24"/>
      <c r="B101" s="549"/>
      <c r="C101" s="550"/>
      <c r="D101" s="551"/>
      <c r="E101" s="223" t="s">
        <v>424</v>
      </c>
      <c r="F101" s="177" t="s">
        <v>138</v>
      </c>
      <c r="G101" s="552"/>
      <c r="H101" s="553"/>
      <c r="I101" s="166">
        <f t="shared" ref="I101:I102" si="64">J101-J101*$J$3</f>
        <v>587.02</v>
      </c>
      <c r="J101" s="165">
        <f t="shared" ref="J101:J102" si="65">IF($J$2=$M$2,M101,N101)</f>
        <v>587.02</v>
      </c>
      <c r="K101" s="37"/>
      <c r="M101" s="229">
        <v>587.02</v>
      </c>
      <c r="N101" s="170">
        <f t="shared" ref="N101:N102" si="66">M101*1.05</f>
        <v>616.37099999999998</v>
      </c>
    </row>
    <row r="102" spans="1:14" s="36" customFormat="1" ht="20.100000000000001" customHeight="1" x14ac:dyDescent="0.25">
      <c r="A102" s="24"/>
      <c r="B102" s="549"/>
      <c r="C102" s="550"/>
      <c r="D102" s="551"/>
      <c r="E102" s="223" t="s">
        <v>414</v>
      </c>
      <c r="F102" s="177" t="s">
        <v>143</v>
      </c>
      <c r="G102" s="552"/>
      <c r="H102" s="553"/>
      <c r="I102" s="166">
        <f t="shared" si="64"/>
        <v>587.02</v>
      </c>
      <c r="J102" s="165">
        <f t="shared" si="65"/>
        <v>587.02</v>
      </c>
      <c r="K102" s="37"/>
      <c r="M102" s="229">
        <v>587.02</v>
      </c>
      <c r="N102" s="170">
        <f t="shared" si="66"/>
        <v>616.37099999999998</v>
      </c>
    </row>
    <row r="103" spans="1:14" s="36" customFormat="1" ht="20.100000000000001" customHeight="1" x14ac:dyDescent="0.25">
      <c r="A103" s="24"/>
      <c r="B103" s="563"/>
      <c r="C103" s="568" t="s">
        <v>248</v>
      </c>
      <c r="D103" s="142" t="s">
        <v>51</v>
      </c>
      <c r="E103" s="223" t="s">
        <v>379</v>
      </c>
      <c r="F103" s="177" t="s">
        <v>243</v>
      </c>
      <c r="G103" s="584"/>
      <c r="H103" s="581" t="s">
        <v>52</v>
      </c>
      <c r="I103" s="166">
        <f t="shared" ref="I103" si="67">J103-J103*$J$3</f>
        <v>1825.62</v>
      </c>
      <c r="J103" s="165">
        <f t="shared" si="44"/>
        <v>1825.62</v>
      </c>
      <c r="K103" s="37"/>
      <c r="M103" s="217">
        <v>1825.62</v>
      </c>
      <c r="N103" s="156">
        <f t="shared" si="63"/>
        <v>1916.9010000000001</v>
      </c>
    </row>
    <row r="104" spans="1:14" s="36" customFormat="1" ht="20.100000000000001" customHeight="1" x14ac:dyDescent="0.25">
      <c r="A104" s="24"/>
      <c r="B104" s="564"/>
      <c r="C104" s="587"/>
      <c r="D104" s="142"/>
      <c r="E104" s="223" t="s">
        <v>377</v>
      </c>
      <c r="F104" s="177" t="s">
        <v>143</v>
      </c>
      <c r="G104" s="585"/>
      <c r="H104" s="582"/>
      <c r="I104" s="166">
        <f t="shared" ref="I104:I106" si="68">J104-J104*$J$3</f>
        <v>1825.62</v>
      </c>
      <c r="J104" s="165">
        <f t="shared" ref="J104:J106" si="69">IF($J$2=$M$2,M104,N104)</f>
        <v>1825.62</v>
      </c>
      <c r="K104" s="37"/>
      <c r="M104" s="217">
        <v>1825.62</v>
      </c>
      <c r="N104" s="165">
        <f t="shared" ref="N104:N106" si="70">M104*1.05</f>
        <v>1916.9010000000001</v>
      </c>
    </row>
    <row r="105" spans="1:14" s="36" customFormat="1" ht="20.100000000000001" customHeight="1" x14ac:dyDescent="0.25">
      <c r="A105" s="24"/>
      <c r="B105" s="564"/>
      <c r="C105" s="587"/>
      <c r="D105" s="142"/>
      <c r="E105" s="223" t="s">
        <v>378</v>
      </c>
      <c r="F105" s="177" t="s">
        <v>359</v>
      </c>
      <c r="G105" s="585"/>
      <c r="H105" s="582"/>
      <c r="I105" s="166">
        <f t="shared" si="68"/>
        <v>1825.62</v>
      </c>
      <c r="J105" s="165">
        <f t="shared" si="69"/>
        <v>1825.62</v>
      </c>
      <c r="K105" s="37"/>
      <c r="M105" s="217">
        <v>1825.62</v>
      </c>
      <c r="N105" s="165">
        <f t="shared" si="70"/>
        <v>1916.9010000000001</v>
      </c>
    </row>
    <row r="106" spans="1:14" s="36" customFormat="1" ht="20.100000000000001" customHeight="1" x14ac:dyDescent="0.25">
      <c r="A106" s="24"/>
      <c r="B106" s="565"/>
      <c r="C106" s="569"/>
      <c r="D106" s="142"/>
      <c r="E106" s="223" t="s">
        <v>380</v>
      </c>
      <c r="F106" s="177" t="s">
        <v>138</v>
      </c>
      <c r="G106" s="586"/>
      <c r="H106" s="583"/>
      <c r="I106" s="166">
        <f t="shared" si="68"/>
        <v>1825.62</v>
      </c>
      <c r="J106" s="165">
        <f t="shared" si="69"/>
        <v>1825.62</v>
      </c>
      <c r="K106" s="37"/>
      <c r="M106" s="217">
        <v>1825.62</v>
      </c>
      <c r="N106" s="165">
        <f t="shared" si="70"/>
        <v>1916.9010000000001</v>
      </c>
    </row>
    <row r="107" spans="1:14" s="36" customFormat="1" ht="40.049999999999997" customHeight="1" x14ac:dyDescent="0.25">
      <c r="A107" s="24"/>
      <c r="B107" s="161"/>
      <c r="C107" s="163" t="s">
        <v>23</v>
      </c>
      <c r="D107" s="38" t="s">
        <v>59</v>
      </c>
      <c r="E107" s="223" t="s">
        <v>383</v>
      </c>
      <c r="F107" s="177" t="s">
        <v>243</v>
      </c>
      <c r="G107" s="171"/>
      <c r="H107" s="172" t="s">
        <v>52</v>
      </c>
      <c r="I107" s="166">
        <f t="shared" ref="I107:I140" si="71">J107-J107*$J$3</f>
        <v>3144.69</v>
      </c>
      <c r="J107" s="165">
        <f t="shared" si="44"/>
        <v>3144.69</v>
      </c>
      <c r="K107" s="37"/>
      <c r="M107" s="216">
        <v>3144.69</v>
      </c>
      <c r="N107" s="156">
        <f t="shared" si="63"/>
        <v>3301.9245000000001</v>
      </c>
    </row>
    <row r="108" spans="1:14" s="36" customFormat="1" ht="40.049999999999997" customHeight="1" x14ac:dyDescent="0.25">
      <c r="A108" s="24"/>
      <c r="B108" s="161"/>
      <c r="C108" s="163" t="s">
        <v>262</v>
      </c>
      <c r="D108" s="38" t="s">
        <v>59</v>
      </c>
      <c r="E108" s="223" t="s">
        <v>411</v>
      </c>
      <c r="F108" s="177" t="s">
        <v>243</v>
      </c>
      <c r="G108" s="171"/>
      <c r="H108" s="172" t="s">
        <v>52</v>
      </c>
      <c r="I108" s="166">
        <f t="shared" si="71"/>
        <v>3101.96</v>
      </c>
      <c r="J108" s="165">
        <f t="shared" si="44"/>
        <v>3101.96</v>
      </c>
      <c r="K108" s="37"/>
      <c r="M108" s="216">
        <v>3101.96</v>
      </c>
      <c r="N108" s="156">
        <f t="shared" si="63"/>
        <v>3257.058</v>
      </c>
    </row>
    <row r="109" spans="1:14" s="36" customFormat="1" ht="40.049999999999997" customHeight="1" x14ac:dyDescent="0.3">
      <c r="A109" s="24"/>
      <c r="B109" s="179"/>
      <c r="C109" s="227" t="s">
        <v>266</v>
      </c>
      <c r="D109" s="142" t="s">
        <v>260</v>
      </c>
      <c r="E109" s="223" t="s">
        <v>410</v>
      </c>
      <c r="F109" s="177" t="s">
        <v>243</v>
      </c>
      <c r="G109" s="45"/>
      <c r="H109" s="174" t="s">
        <v>52</v>
      </c>
      <c r="I109" s="46">
        <f t="shared" ref="I109" si="72">J109-J109*$J$3</f>
        <v>1277.27</v>
      </c>
      <c r="J109" s="215">
        <f t="shared" si="44"/>
        <v>1277.27</v>
      </c>
      <c r="K109" s="28"/>
      <c r="M109" s="216">
        <v>1277.27</v>
      </c>
      <c r="N109" s="215">
        <f t="shared" ref="N109" si="73">M109*1.05</f>
        <v>1341.1335000000001</v>
      </c>
    </row>
    <row r="110" spans="1:14" s="36" customFormat="1" ht="39.9" customHeight="1" x14ac:dyDescent="0.25">
      <c r="A110" s="24"/>
      <c r="B110" s="161"/>
      <c r="C110" s="163" t="s">
        <v>60</v>
      </c>
      <c r="D110" s="158" t="s">
        <v>61</v>
      </c>
      <c r="E110" s="223" t="s">
        <v>384</v>
      </c>
      <c r="F110" s="177" t="s">
        <v>243</v>
      </c>
      <c r="G110" s="171"/>
      <c r="H110" s="172" t="s">
        <v>52</v>
      </c>
      <c r="I110" s="166">
        <f t="shared" si="71"/>
        <v>2498.9699999999998</v>
      </c>
      <c r="J110" s="165">
        <f t="shared" si="44"/>
        <v>2498.9699999999998</v>
      </c>
      <c r="K110" s="37"/>
      <c r="M110" s="216">
        <v>2498.9699999999998</v>
      </c>
      <c r="N110" s="156">
        <f t="shared" si="63"/>
        <v>2623.9184999999998</v>
      </c>
    </row>
    <row r="111" spans="1:14" s="36" customFormat="1" ht="20.100000000000001" customHeight="1" x14ac:dyDescent="0.25">
      <c r="A111" s="24"/>
      <c r="B111" s="549"/>
      <c r="C111" s="550" t="s">
        <v>62</v>
      </c>
      <c r="D111" s="551"/>
      <c r="E111" s="223" t="s">
        <v>385</v>
      </c>
      <c r="F111" s="177" t="s">
        <v>63</v>
      </c>
      <c r="G111" s="552"/>
      <c r="H111" s="553" t="s">
        <v>34</v>
      </c>
      <c r="I111" s="166">
        <f t="shared" si="71"/>
        <v>10.119999999999999</v>
      </c>
      <c r="J111" s="165">
        <f t="shared" si="44"/>
        <v>10.119999999999999</v>
      </c>
      <c r="K111" s="37"/>
      <c r="M111" s="229">
        <v>10.119999999999999</v>
      </c>
      <c r="N111" s="170">
        <f t="shared" si="63"/>
        <v>10.625999999999999</v>
      </c>
    </row>
    <row r="112" spans="1:14" s="36" customFormat="1" ht="20.100000000000001" customHeight="1" x14ac:dyDescent="0.25">
      <c r="A112" s="24"/>
      <c r="B112" s="549"/>
      <c r="C112" s="550"/>
      <c r="D112" s="551"/>
      <c r="E112" s="223" t="s">
        <v>386</v>
      </c>
      <c r="F112" s="177" t="s">
        <v>55</v>
      </c>
      <c r="G112" s="552"/>
      <c r="H112" s="553"/>
      <c r="I112" s="166">
        <f t="shared" ref="I112:I114" si="74">J112-J112*$J$3</f>
        <v>10.119999999999999</v>
      </c>
      <c r="J112" s="165">
        <f t="shared" ref="J112:J114" si="75">IF($J$2=$M$2,M112,N112)</f>
        <v>10.119999999999999</v>
      </c>
      <c r="K112" s="37"/>
      <c r="M112" s="229">
        <v>10.119999999999999</v>
      </c>
      <c r="N112" s="170">
        <f t="shared" ref="N112:N114" si="76">M112*1.05</f>
        <v>10.625999999999999</v>
      </c>
    </row>
    <row r="113" spans="1:14" s="36" customFormat="1" ht="20.100000000000001" customHeight="1" x14ac:dyDescent="0.25">
      <c r="A113" s="24"/>
      <c r="B113" s="549"/>
      <c r="C113" s="550"/>
      <c r="D113" s="551"/>
      <c r="E113" s="223" t="s">
        <v>415</v>
      </c>
      <c r="F113" s="177" t="s">
        <v>358</v>
      </c>
      <c r="G113" s="552"/>
      <c r="H113" s="553"/>
      <c r="I113" s="166">
        <f t="shared" ref="I113" si="77">J113-J113*$J$3</f>
        <v>10.119999999999999</v>
      </c>
      <c r="J113" s="165">
        <f t="shared" ref="J113" si="78">IF($J$2=$M$2,M113,N113)</f>
        <v>10.119999999999999</v>
      </c>
      <c r="K113" s="37"/>
      <c r="M113" s="229">
        <v>10.119999999999999</v>
      </c>
      <c r="N113" s="170">
        <f t="shared" ref="N113" si="79">M113*1.05</f>
        <v>10.625999999999999</v>
      </c>
    </row>
    <row r="114" spans="1:14" s="36" customFormat="1" ht="20.100000000000001" customHeight="1" x14ac:dyDescent="0.25">
      <c r="A114" s="24"/>
      <c r="B114" s="549"/>
      <c r="C114" s="550"/>
      <c r="D114" s="551"/>
      <c r="E114" s="223" t="s">
        <v>427</v>
      </c>
      <c r="F114" s="177" t="s">
        <v>138</v>
      </c>
      <c r="G114" s="552"/>
      <c r="H114" s="553"/>
      <c r="I114" s="166">
        <f t="shared" si="74"/>
        <v>10.119999999999999</v>
      </c>
      <c r="J114" s="165">
        <f t="shared" si="75"/>
        <v>10.119999999999999</v>
      </c>
      <c r="K114" s="37"/>
      <c r="M114" s="229">
        <v>10.119999999999999</v>
      </c>
      <c r="N114" s="170">
        <f t="shared" si="76"/>
        <v>10.625999999999999</v>
      </c>
    </row>
    <row r="115" spans="1:14" s="36" customFormat="1" ht="40.049999999999997" customHeight="1" x14ac:dyDescent="0.25">
      <c r="A115" s="24"/>
      <c r="B115" s="161"/>
      <c r="C115" s="163" t="s">
        <v>64</v>
      </c>
      <c r="D115" s="158" t="s">
        <v>65</v>
      </c>
      <c r="E115" s="223" t="s">
        <v>387</v>
      </c>
      <c r="F115" s="177" t="s">
        <v>243</v>
      </c>
      <c r="G115" s="171"/>
      <c r="H115" s="172" t="s">
        <v>34</v>
      </c>
      <c r="I115" s="178">
        <f t="shared" si="71"/>
        <v>515.45000000000005</v>
      </c>
      <c r="J115" s="165">
        <f t="shared" si="44"/>
        <v>515.45000000000005</v>
      </c>
      <c r="K115" s="124"/>
      <c r="M115" s="218">
        <v>515.45000000000005</v>
      </c>
      <c r="N115" s="156">
        <f t="shared" si="63"/>
        <v>541.22250000000008</v>
      </c>
    </row>
    <row r="116" spans="1:14" s="36" customFormat="1" ht="20.100000000000001" customHeight="1" x14ac:dyDescent="0.25">
      <c r="A116" s="24"/>
      <c r="B116" s="549"/>
      <c r="C116" s="550" t="s">
        <v>147</v>
      </c>
      <c r="D116" s="551" t="s">
        <v>65</v>
      </c>
      <c r="E116" s="223" t="s">
        <v>388</v>
      </c>
      <c r="F116" s="177" t="s">
        <v>243</v>
      </c>
      <c r="G116" s="552"/>
      <c r="H116" s="553" t="s">
        <v>34</v>
      </c>
      <c r="I116" s="166">
        <f t="shared" si="71"/>
        <v>350.87</v>
      </c>
      <c r="J116" s="165">
        <f t="shared" si="44"/>
        <v>350.87</v>
      </c>
      <c r="K116" s="37"/>
      <c r="M116" s="229">
        <v>350.87</v>
      </c>
      <c r="N116" s="170">
        <f t="shared" si="63"/>
        <v>368.4135</v>
      </c>
    </row>
    <row r="117" spans="1:14" s="36" customFormat="1" ht="20.100000000000001" customHeight="1" x14ac:dyDescent="0.25">
      <c r="A117" s="24"/>
      <c r="B117" s="549"/>
      <c r="C117" s="550"/>
      <c r="D117" s="551"/>
      <c r="E117" s="223" t="s">
        <v>428</v>
      </c>
      <c r="F117" s="177" t="s">
        <v>138</v>
      </c>
      <c r="G117" s="552"/>
      <c r="H117" s="553"/>
      <c r="I117" s="166">
        <f t="shared" ref="I117:I121" si="80">J117-J117*$J$3</f>
        <v>350.87</v>
      </c>
      <c r="J117" s="165">
        <f t="shared" ref="J117:J121" si="81">IF($J$2=$M$2,M117,N117)</f>
        <v>350.87</v>
      </c>
      <c r="K117" s="37"/>
      <c r="M117" s="229">
        <v>350.87</v>
      </c>
      <c r="N117" s="170">
        <f t="shared" ref="N117:N121" si="82">M117*1.05</f>
        <v>368.4135</v>
      </c>
    </row>
    <row r="118" spans="1:14" s="36" customFormat="1" ht="20.100000000000001" customHeight="1" x14ac:dyDescent="0.25">
      <c r="A118" s="24"/>
      <c r="B118" s="549"/>
      <c r="C118" s="550"/>
      <c r="D118" s="551"/>
      <c r="E118" s="223" t="s">
        <v>416</v>
      </c>
      <c r="F118" s="177" t="s">
        <v>143</v>
      </c>
      <c r="G118" s="552"/>
      <c r="H118" s="553"/>
      <c r="I118" s="166">
        <f t="shared" si="80"/>
        <v>350.87</v>
      </c>
      <c r="J118" s="165">
        <f t="shared" si="81"/>
        <v>350.87</v>
      </c>
      <c r="K118" s="37"/>
      <c r="M118" s="229">
        <v>350.87</v>
      </c>
      <c r="N118" s="170">
        <f t="shared" si="82"/>
        <v>368.4135</v>
      </c>
    </row>
    <row r="119" spans="1:14" s="36" customFormat="1" ht="20.100000000000001" customHeight="1" x14ac:dyDescent="0.25">
      <c r="A119" s="24"/>
      <c r="B119" s="549"/>
      <c r="C119" s="550" t="s">
        <v>148</v>
      </c>
      <c r="D119" s="551"/>
      <c r="E119" s="223" t="s">
        <v>389</v>
      </c>
      <c r="F119" s="177" t="s">
        <v>243</v>
      </c>
      <c r="G119" s="552"/>
      <c r="H119" s="553"/>
      <c r="I119" s="166">
        <f t="shared" si="80"/>
        <v>350.87</v>
      </c>
      <c r="J119" s="165">
        <f t="shared" si="81"/>
        <v>350.87</v>
      </c>
      <c r="K119" s="37"/>
      <c r="M119" s="229">
        <v>350.87</v>
      </c>
      <c r="N119" s="170">
        <f t="shared" si="82"/>
        <v>368.4135</v>
      </c>
    </row>
    <row r="120" spans="1:14" s="36" customFormat="1" ht="20.100000000000001" customHeight="1" x14ac:dyDescent="0.25">
      <c r="A120" s="24"/>
      <c r="B120" s="549"/>
      <c r="C120" s="550"/>
      <c r="D120" s="551"/>
      <c r="E120" s="223" t="s">
        <v>429</v>
      </c>
      <c r="F120" s="177" t="s">
        <v>138</v>
      </c>
      <c r="G120" s="552"/>
      <c r="H120" s="553"/>
      <c r="I120" s="166">
        <f t="shared" si="80"/>
        <v>350.87</v>
      </c>
      <c r="J120" s="165">
        <f t="shared" si="81"/>
        <v>350.87</v>
      </c>
      <c r="K120" s="37"/>
      <c r="M120" s="229">
        <v>350.87</v>
      </c>
      <c r="N120" s="170">
        <f t="shared" si="82"/>
        <v>368.4135</v>
      </c>
    </row>
    <row r="121" spans="1:14" s="36" customFormat="1" ht="20.100000000000001" customHeight="1" x14ac:dyDescent="0.25">
      <c r="A121" s="24"/>
      <c r="B121" s="549"/>
      <c r="C121" s="550"/>
      <c r="D121" s="551"/>
      <c r="E121" s="223" t="s">
        <v>417</v>
      </c>
      <c r="F121" s="177" t="s">
        <v>143</v>
      </c>
      <c r="G121" s="552"/>
      <c r="H121" s="553"/>
      <c r="I121" s="166">
        <f t="shared" si="80"/>
        <v>350.87</v>
      </c>
      <c r="J121" s="165">
        <f t="shared" si="81"/>
        <v>350.87</v>
      </c>
      <c r="K121" s="37"/>
      <c r="M121" s="229">
        <v>350.87</v>
      </c>
      <c r="N121" s="170">
        <f t="shared" si="82"/>
        <v>368.4135</v>
      </c>
    </row>
    <row r="122" spans="1:14" s="36" customFormat="1" ht="20.100000000000001" customHeight="1" x14ac:dyDescent="0.25">
      <c r="A122" s="24"/>
      <c r="B122" s="549"/>
      <c r="C122" s="550" t="s">
        <v>66</v>
      </c>
      <c r="D122" s="551" t="s">
        <v>65</v>
      </c>
      <c r="E122" s="223" t="s">
        <v>390</v>
      </c>
      <c r="F122" s="177" t="s">
        <v>243</v>
      </c>
      <c r="G122" s="552"/>
      <c r="H122" s="553" t="s">
        <v>34</v>
      </c>
      <c r="I122" s="166">
        <f t="shared" si="71"/>
        <v>407.19</v>
      </c>
      <c r="J122" s="165">
        <f t="shared" ref="J122:J144" si="83">IF($J$2=$M$2,M122,N122)</f>
        <v>407.19</v>
      </c>
      <c r="K122" s="37"/>
      <c r="M122" s="229">
        <v>407.19</v>
      </c>
      <c r="N122" s="170">
        <f t="shared" si="63"/>
        <v>427.54950000000002</v>
      </c>
    </row>
    <row r="123" spans="1:14" s="36" customFormat="1" ht="20.100000000000001" customHeight="1" x14ac:dyDescent="0.25">
      <c r="A123" s="24"/>
      <c r="B123" s="549"/>
      <c r="C123" s="550"/>
      <c r="D123" s="551"/>
      <c r="E123" s="223" t="s">
        <v>430</v>
      </c>
      <c r="F123" s="177" t="s">
        <v>138</v>
      </c>
      <c r="G123" s="552"/>
      <c r="H123" s="553"/>
      <c r="I123" s="166">
        <f t="shared" ref="I123:I124" si="84">J123-J123*$J$3</f>
        <v>407.19</v>
      </c>
      <c r="J123" s="165">
        <f t="shared" ref="J123:J124" si="85">IF($J$2=$M$2,M123,N123)</f>
        <v>407.19</v>
      </c>
      <c r="K123" s="37"/>
      <c r="M123" s="229">
        <v>407.19</v>
      </c>
      <c r="N123" s="170">
        <f t="shared" ref="N123:N124" si="86">M123*1.05</f>
        <v>427.54950000000002</v>
      </c>
    </row>
    <row r="124" spans="1:14" s="36" customFormat="1" ht="20.100000000000001" customHeight="1" x14ac:dyDescent="0.25">
      <c r="A124" s="24"/>
      <c r="B124" s="549"/>
      <c r="C124" s="550"/>
      <c r="D124" s="551"/>
      <c r="E124" s="223" t="s">
        <v>418</v>
      </c>
      <c r="F124" s="177" t="s">
        <v>143</v>
      </c>
      <c r="G124" s="552"/>
      <c r="H124" s="553"/>
      <c r="I124" s="166">
        <f t="shared" si="84"/>
        <v>407.19</v>
      </c>
      <c r="J124" s="165">
        <f t="shared" si="85"/>
        <v>407.19</v>
      </c>
      <c r="K124" s="37"/>
      <c r="M124" s="229">
        <v>407.19</v>
      </c>
      <c r="N124" s="170">
        <f t="shared" si="86"/>
        <v>427.54950000000002</v>
      </c>
    </row>
    <row r="125" spans="1:14" s="36" customFormat="1" ht="40.049999999999997" customHeight="1" x14ac:dyDescent="0.25">
      <c r="A125" s="41"/>
      <c r="B125" s="180"/>
      <c r="C125" s="163" t="s">
        <v>67</v>
      </c>
      <c r="D125" s="174" t="s">
        <v>45</v>
      </c>
      <c r="E125" s="223" t="s">
        <v>391</v>
      </c>
      <c r="F125" s="177" t="s">
        <v>243</v>
      </c>
      <c r="G125" s="181"/>
      <c r="H125" s="174" t="s">
        <v>34</v>
      </c>
      <c r="I125" s="166">
        <f t="shared" si="71"/>
        <v>37.909999999999997</v>
      </c>
      <c r="J125" s="165">
        <f t="shared" si="83"/>
        <v>37.909999999999997</v>
      </c>
      <c r="K125" s="37"/>
      <c r="M125" s="219">
        <v>37.909999999999997</v>
      </c>
      <c r="N125" s="156">
        <f t="shared" si="63"/>
        <v>39.805499999999995</v>
      </c>
    </row>
    <row r="126" spans="1:14" s="36" customFormat="1" ht="40.049999999999997" customHeight="1" x14ac:dyDescent="0.25">
      <c r="A126" s="24"/>
      <c r="B126" s="161"/>
      <c r="C126" s="163" t="s">
        <v>68</v>
      </c>
      <c r="D126" s="158" t="s">
        <v>45</v>
      </c>
      <c r="E126" s="223" t="s">
        <v>392</v>
      </c>
      <c r="F126" s="177" t="s">
        <v>243</v>
      </c>
      <c r="G126" s="171"/>
      <c r="H126" s="172" t="s">
        <v>34</v>
      </c>
      <c r="I126" s="166">
        <f t="shared" si="71"/>
        <v>43.59</v>
      </c>
      <c r="J126" s="165">
        <f t="shared" si="83"/>
        <v>43.59</v>
      </c>
      <c r="K126" s="37"/>
      <c r="M126" s="218">
        <v>43.59</v>
      </c>
      <c r="N126" s="156">
        <f t="shared" si="63"/>
        <v>45.769500000000008</v>
      </c>
    </row>
    <row r="127" spans="1:14" s="36" customFormat="1" ht="40.049999999999997" customHeight="1" x14ac:dyDescent="0.25">
      <c r="A127" s="41"/>
      <c r="B127" s="180"/>
      <c r="C127" s="163" t="s">
        <v>69</v>
      </c>
      <c r="D127" s="174" t="s">
        <v>45</v>
      </c>
      <c r="E127" s="223" t="s">
        <v>393</v>
      </c>
      <c r="F127" s="177" t="s">
        <v>243</v>
      </c>
      <c r="G127" s="181"/>
      <c r="H127" s="174" t="s">
        <v>34</v>
      </c>
      <c r="I127" s="166">
        <f t="shared" si="71"/>
        <v>224.3</v>
      </c>
      <c r="J127" s="165">
        <f t="shared" si="83"/>
        <v>224.3</v>
      </c>
      <c r="K127" s="37"/>
      <c r="M127" s="218">
        <v>224.3</v>
      </c>
      <c r="N127" s="156">
        <f t="shared" si="63"/>
        <v>235.51500000000001</v>
      </c>
    </row>
    <row r="128" spans="1:14" s="36" customFormat="1" ht="40.049999999999997" customHeight="1" x14ac:dyDescent="0.25">
      <c r="A128" s="41" t="s">
        <v>70</v>
      </c>
      <c r="B128" s="180"/>
      <c r="C128" s="163" t="s">
        <v>71</v>
      </c>
      <c r="D128" s="174" t="s">
        <v>59</v>
      </c>
      <c r="E128" s="223" t="s">
        <v>396</v>
      </c>
      <c r="F128" s="177" t="s">
        <v>243</v>
      </c>
      <c r="G128" s="181"/>
      <c r="H128" s="174" t="s">
        <v>52</v>
      </c>
      <c r="I128" s="166">
        <f t="shared" si="71"/>
        <v>2369.0100000000002</v>
      </c>
      <c r="J128" s="165">
        <f t="shared" si="83"/>
        <v>2369.0100000000002</v>
      </c>
      <c r="K128" s="37"/>
      <c r="M128" s="216">
        <v>2369.0100000000002</v>
      </c>
      <c r="N128" s="156">
        <f t="shared" si="63"/>
        <v>2487.4605000000001</v>
      </c>
    </row>
    <row r="129" spans="1:14" s="36" customFormat="1" ht="40.049999999999997" customHeight="1" x14ac:dyDescent="0.25">
      <c r="A129" s="24"/>
      <c r="B129" s="161"/>
      <c r="C129" s="163" t="s">
        <v>72</v>
      </c>
      <c r="D129" s="158" t="s">
        <v>65</v>
      </c>
      <c r="E129" s="223" t="s">
        <v>394</v>
      </c>
      <c r="F129" s="177" t="s">
        <v>243</v>
      </c>
      <c r="G129" s="171"/>
      <c r="H129" s="172" t="s">
        <v>34</v>
      </c>
      <c r="I129" s="166">
        <f t="shared" si="71"/>
        <v>538.57000000000005</v>
      </c>
      <c r="J129" s="165">
        <f t="shared" si="83"/>
        <v>538.57000000000005</v>
      </c>
      <c r="K129" s="37"/>
      <c r="M129" s="218">
        <v>538.57000000000005</v>
      </c>
      <c r="N129" s="156">
        <f t="shared" si="63"/>
        <v>565.49850000000004</v>
      </c>
    </row>
    <row r="130" spans="1:14" s="36" customFormat="1" ht="40.049999999999997" customHeight="1" x14ac:dyDescent="0.25">
      <c r="A130" s="41"/>
      <c r="B130" s="180"/>
      <c r="C130" s="163" t="s">
        <v>73</v>
      </c>
      <c r="D130" s="174" t="s">
        <v>49</v>
      </c>
      <c r="E130" s="223" t="s">
        <v>395</v>
      </c>
      <c r="F130" s="177" t="s">
        <v>243</v>
      </c>
      <c r="G130" s="38"/>
      <c r="H130" s="174" t="s">
        <v>52</v>
      </c>
      <c r="I130" s="166">
        <f t="shared" si="71"/>
        <v>136.26</v>
      </c>
      <c r="J130" s="165">
        <f t="shared" si="83"/>
        <v>136.26</v>
      </c>
      <c r="K130" s="37"/>
      <c r="M130" s="218">
        <v>136.26</v>
      </c>
      <c r="N130" s="156">
        <f t="shared" si="63"/>
        <v>143.07300000000001</v>
      </c>
    </row>
    <row r="131" spans="1:14" s="36" customFormat="1" ht="20.100000000000001" customHeight="1" x14ac:dyDescent="0.25">
      <c r="A131" s="24"/>
      <c r="B131" s="549"/>
      <c r="C131" s="550" t="s">
        <v>74</v>
      </c>
      <c r="D131" s="551" t="s">
        <v>39</v>
      </c>
      <c r="E131" s="176" t="s">
        <v>397</v>
      </c>
      <c r="F131" s="177" t="s">
        <v>243</v>
      </c>
      <c r="G131" s="552"/>
      <c r="H131" s="553" t="s">
        <v>34</v>
      </c>
      <c r="I131" s="166">
        <f t="shared" si="71"/>
        <v>541.19000000000005</v>
      </c>
      <c r="J131" s="165">
        <f t="shared" si="83"/>
        <v>541.19000000000005</v>
      </c>
      <c r="K131" s="37"/>
      <c r="M131" s="229">
        <v>541.19000000000005</v>
      </c>
      <c r="N131" s="170">
        <f t="shared" si="63"/>
        <v>568.24950000000013</v>
      </c>
    </row>
    <row r="132" spans="1:14" s="36" customFormat="1" ht="20.100000000000001" customHeight="1" x14ac:dyDescent="0.25">
      <c r="A132" s="24"/>
      <c r="B132" s="549"/>
      <c r="C132" s="550"/>
      <c r="D132" s="551"/>
      <c r="E132" s="223" t="s">
        <v>431</v>
      </c>
      <c r="F132" s="177" t="s">
        <v>138</v>
      </c>
      <c r="G132" s="552"/>
      <c r="H132" s="553"/>
      <c r="I132" s="166">
        <f t="shared" ref="I132:I133" si="87">J132-J132*$J$3</f>
        <v>541.19000000000005</v>
      </c>
      <c r="J132" s="165">
        <f t="shared" ref="J132:J133" si="88">IF($J$2=$M$2,M132,N132)</f>
        <v>541.19000000000005</v>
      </c>
      <c r="K132" s="37"/>
      <c r="M132" s="229">
        <v>541.19000000000005</v>
      </c>
      <c r="N132" s="170">
        <f t="shared" ref="N132:N133" si="89">M132*1.05</f>
        <v>568.24950000000013</v>
      </c>
    </row>
    <row r="133" spans="1:14" s="36" customFormat="1" ht="20.100000000000001" customHeight="1" x14ac:dyDescent="0.25">
      <c r="A133" s="24"/>
      <c r="B133" s="549"/>
      <c r="C133" s="550"/>
      <c r="D133" s="551"/>
      <c r="E133" s="223" t="s">
        <v>419</v>
      </c>
      <c r="F133" s="177" t="s">
        <v>143</v>
      </c>
      <c r="G133" s="552"/>
      <c r="H133" s="553"/>
      <c r="I133" s="166">
        <f t="shared" si="87"/>
        <v>541.19000000000005</v>
      </c>
      <c r="J133" s="165">
        <f t="shared" si="88"/>
        <v>541.19000000000005</v>
      </c>
      <c r="K133" s="37"/>
      <c r="M133" s="229">
        <v>541.19000000000005</v>
      </c>
      <c r="N133" s="170">
        <f t="shared" si="89"/>
        <v>568.24950000000013</v>
      </c>
    </row>
    <row r="134" spans="1:14" s="36" customFormat="1" ht="40.049999999999997" customHeight="1" x14ac:dyDescent="0.25">
      <c r="A134" s="24"/>
      <c r="B134" s="161"/>
      <c r="C134" s="163" t="s">
        <v>75</v>
      </c>
      <c r="D134" s="158" t="s">
        <v>76</v>
      </c>
      <c r="E134" s="223" t="s">
        <v>398</v>
      </c>
      <c r="F134" s="177" t="s">
        <v>243</v>
      </c>
      <c r="G134" s="171"/>
      <c r="H134" s="172" t="s">
        <v>34</v>
      </c>
      <c r="I134" s="166">
        <f t="shared" si="71"/>
        <v>5.99</v>
      </c>
      <c r="J134" s="165">
        <f t="shared" si="83"/>
        <v>5.99</v>
      </c>
      <c r="K134" s="37"/>
      <c r="M134" s="218">
        <v>5.99</v>
      </c>
      <c r="N134" s="156">
        <f t="shared" si="63"/>
        <v>6.2895000000000003</v>
      </c>
    </row>
    <row r="135" spans="1:14" s="43" customFormat="1" ht="40.049999999999997" customHeight="1" x14ac:dyDescent="0.25">
      <c r="A135" s="42"/>
      <c r="B135" s="182"/>
      <c r="C135" s="163" t="s">
        <v>77</v>
      </c>
      <c r="D135" s="174" t="s">
        <v>78</v>
      </c>
      <c r="E135" s="223" t="s">
        <v>401</v>
      </c>
      <c r="F135" s="177" t="s">
        <v>243</v>
      </c>
      <c r="G135" s="171"/>
      <c r="H135" s="172" t="s">
        <v>52</v>
      </c>
      <c r="I135" s="166">
        <f t="shared" si="71"/>
        <v>169.82</v>
      </c>
      <c r="J135" s="165">
        <f t="shared" si="83"/>
        <v>169.82</v>
      </c>
      <c r="K135" s="37"/>
      <c r="L135" s="36"/>
      <c r="M135" s="218">
        <v>169.82</v>
      </c>
      <c r="N135" s="156">
        <f t="shared" si="63"/>
        <v>178.31100000000001</v>
      </c>
    </row>
    <row r="136" spans="1:14" s="36" customFormat="1" ht="40.049999999999997" customHeight="1" x14ac:dyDescent="0.25">
      <c r="A136" s="24"/>
      <c r="B136" s="161"/>
      <c r="C136" s="163" t="s">
        <v>79</v>
      </c>
      <c r="D136" s="174" t="s">
        <v>149</v>
      </c>
      <c r="E136" s="223" t="s">
        <v>403</v>
      </c>
      <c r="F136" s="177"/>
      <c r="G136" s="171"/>
      <c r="H136" s="172" t="s">
        <v>52</v>
      </c>
      <c r="I136" s="166">
        <f t="shared" si="71"/>
        <v>426.41</v>
      </c>
      <c r="J136" s="165">
        <f t="shared" si="83"/>
        <v>426.41</v>
      </c>
      <c r="K136" s="37"/>
      <c r="M136" s="218">
        <v>426.41</v>
      </c>
      <c r="N136" s="156">
        <f t="shared" si="63"/>
        <v>447.73050000000006</v>
      </c>
    </row>
    <row r="137" spans="1:14" s="36" customFormat="1" ht="40.049999999999997" customHeight="1" x14ac:dyDescent="0.25">
      <c r="A137" s="24"/>
      <c r="B137" s="161"/>
      <c r="C137" s="163" t="s">
        <v>80</v>
      </c>
      <c r="D137" s="174" t="s">
        <v>81</v>
      </c>
      <c r="E137" s="223" t="s">
        <v>402</v>
      </c>
      <c r="F137" s="177" t="s">
        <v>243</v>
      </c>
      <c r="G137" s="171"/>
      <c r="H137" s="172" t="s">
        <v>34</v>
      </c>
      <c r="I137" s="166">
        <f t="shared" si="71"/>
        <v>96.26</v>
      </c>
      <c r="J137" s="165">
        <f t="shared" si="83"/>
        <v>96.26</v>
      </c>
      <c r="K137" s="37"/>
      <c r="M137" s="218">
        <v>96.26</v>
      </c>
      <c r="N137" s="156">
        <f t="shared" si="63"/>
        <v>101.07300000000001</v>
      </c>
    </row>
    <row r="138" spans="1:14" s="35" customFormat="1" ht="40.049999999999997" customHeight="1" x14ac:dyDescent="0.25">
      <c r="A138" s="168"/>
      <c r="B138" s="183"/>
      <c r="C138" s="163" t="s">
        <v>150</v>
      </c>
      <c r="D138" s="158" t="s">
        <v>39</v>
      </c>
      <c r="E138" s="223" t="s">
        <v>400</v>
      </c>
      <c r="F138" s="177" t="s">
        <v>243</v>
      </c>
      <c r="G138" s="44"/>
      <c r="H138" s="161" t="s">
        <v>34</v>
      </c>
      <c r="I138" s="166">
        <f t="shared" si="71"/>
        <v>101.09</v>
      </c>
      <c r="J138" s="165">
        <f t="shared" si="83"/>
        <v>101.09</v>
      </c>
      <c r="L138" s="36"/>
      <c r="M138" s="218">
        <v>101.09</v>
      </c>
      <c r="N138" s="156">
        <f t="shared" si="63"/>
        <v>106.14450000000001</v>
      </c>
    </row>
    <row r="139" spans="1:14" s="35" customFormat="1" ht="40.049999999999997" customHeight="1" x14ac:dyDescent="0.25">
      <c r="A139" s="168"/>
      <c r="B139" s="183"/>
      <c r="C139" s="163" t="s">
        <v>151</v>
      </c>
      <c r="D139" s="158" t="s">
        <v>39</v>
      </c>
      <c r="E139" s="223" t="s">
        <v>399</v>
      </c>
      <c r="F139" s="177" t="s">
        <v>243</v>
      </c>
      <c r="G139" s="44"/>
      <c r="H139" s="161" t="s">
        <v>34</v>
      </c>
      <c r="I139" s="166">
        <f t="shared" si="71"/>
        <v>75.8</v>
      </c>
      <c r="J139" s="165">
        <f t="shared" si="83"/>
        <v>75.8</v>
      </c>
      <c r="L139" s="36"/>
      <c r="M139" s="218">
        <v>75.8</v>
      </c>
      <c r="N139" s="156">
        <f t="shared" si="63"/>
        <v>79.59</v>
      </c>
    </row>
    <row r="140" spans="1:14" s="36" customFormat="1" ht="21.15" customHeight="1" x14ac:dyDescent="0.25">
      <c r="A140" s="24"/>
      <c r="B140" s="556"/>
      <c r="C140" s="554" t="s">
        <v>82</v>
      </c>
      <c r="D140" s="38" t="s">
        <v>83</v>
      </c>
      <c r="E140" s="223" t="s">
        <v>407</v>
      </c>
      <c r="F140" s="177" t="s">
        <v>362</v>
      </c>
      <c r="G140" s="556"/>
      <c r="H140" s="563" t="s">
        <v>56</v>
      </c>
      <c r="I140" s="166">
        <f t="shared" si="71"/>
        <v>74.73</v>
      </c>
      <c r="J140" s="165">
        <f t="shared" si="83"/>
        <v>74.73</v>
      </c>
      <c r="K140" s="37"/>
      <c r="M140" s="218">
        <v>74.73</v>
      </c>
      <c r="N140" s="156">
        <f t="shared" si="63"/>
        <v>78.466500000000011</v>
      </c>
    </row>
    <row r="141" spans="1:14" s="36" customFormat="1" ht="21.15" customHeight="1" x14ac:dyDescent="0.25">
      <c r="A141" s="24"/>
      <c r="B141" s="558"/>
      <c r="C141" s="559"/>
      <c r="D141" s="177"/>
      <c r="E141" s="223" t="s">
        <v>406</v>
      </c>
      <c r="F141" s="177" t="s">
        <v>359</v>
      </c>
      <c r="G141" s="558"/>
      <c r="H141" s="564"/>
      <c r="I141" s="166">
        <f t="shared" ref="I141:I143" si="90">J141-J141*$J$3</f>
        <v>74.73</v>
      </c>
      <c r="J141" s="165">
        <f t="shared" ref="J141:J143" si="91">IF($J$2=$M$2,M141,N141)</f>
        <v>74.73</v>
      </c>
      <c r="K141" s="37"/>
      <c r="M141" s="218">
        <v>74.73</v>
      </c>
      <c r="N141" s="165">
        <f t="shared" ref="N141:N143" si="92">M141*1.05</f>
        <v>78.466500000000011</v>
      </c>
    </row>
    <row r="142" spans="1:14" s="36" customFormat="1" ht="21.15" customHeight="1" x14ac:dyDescent="0.25">
      <c r="A142" s="24"/>
      <c r="B142" s="558"/>
      <c r="C142" s="559"/>
      <c r="D142" s="177"/>
      <c r="E142" s="223" t="s">
        <v>421</v>
      </c>
      <c r="F142" s="177" t="s">
        <v>358</v>
      </c>
      <c r="G142" s="558"/>
      <c r="H142" s="564"/>
      <c r="I142" s="166">
        <f t="shared" si="90"/>
        <v>74.73</v>
      </c>
      <c r="J142" s="165">
        <f t="shared" si="91"/>
        <v>74.73</v>
      </c>
      <c r="K142" s="37"/>
      <c r="M142" s="218">
        <v>74.73</v>
      </c>
      <c r="N142" s="165">
        <f t="shared" si="92"/>
        <v>78.466500000000011</v>
      </c>
    </row>
    <row r="143" spans="1:14" s="36" customFormat="1" ht="21.15" customHeight="1" x14ac:dyDescent="0.25">
      <c r="A143" s="24"/>
      <c r="B143" s="557"/>
      <c r="C143" s="555"/>
      <c r="D143" s="177"/>
      <c r="E143" s="223" t="s">
        <v>433</v>
      </c>
      <c r="F143" s="177" t="s">
        <v>357</v>
      </c>
      <c r="G143" s="557"/>
      <c r="H143" s="565"/>
      <c r="I143" s="166">
        <f t="shared" si="90"/>
        <v>74.73</v>
      </c>
      <c r="J143" s="165">
        <f t="shared" si="91"/>
        <v>74.73</v>
      </c>
      <c r="K143" s="37"/>
      <c r="M143" s="218">
        <v>74.73</v>
      </c>
      <c r="N143" s="165">
        <f t="shared" si="92"/>
        <v>78.466500000000011</v>
      </c>
    </row>
    <row r="144" spans="1:14" ht="21.15" customHeight="1" x14ac:dyDescent="0.3">
      <c r="B144" s="566"/>
      <c r="C144" s="568" t="s">
        <v>259</v>
      </c>
      <c r="D144" s="142" t="s">
        <v>260</v>
      </c>
      <c r="E144" s="223" t="s">
        <v>409</v>
      </c>
      <c r="F144" s="142" t="s">
        <v>362</v>
      </c>
      <c r="G144" s="560"/>
      <c r="H144" s="570" t="s">
        <v>56</v>
      </c>
      <c r="I144" s="46">
        <f t="shared" ref="I144" si="93">J144-J144*$J$3</f>
        <v>24.09</v>
      </c>
      <c r="J144" s="215">
        <f t="shared" si="83"/>
        <v>24.09</v>
      </c>
      <c r="L144" s="36"/>
      <c r="M144" s="218">
        <v>24.09</v>
      </c>
      <c r="N144" s="215">
        <f>M144*1.05</f>
        <v>25.294499999999999</v>
      </c>
    </row>
    <row r="145" spans="2:14" ht="21.15" customHeight="1" x14ac:dyDescent="0.3">
      <c r="B145" s="567"/>
      <c r="C145" s="569"/>
      <c r="D145" s="142"/>
      <c r="E145" s="223" t="s">
        <v>408</v>
      </c>
      <c r="F145" s="142" t="s">
        <v>358</v>
      </c>
      <c r="G145" s="562"/>
      <c r="H145" s="571"/>
      <c r="I145" s="46">
        <f t="shared" ref="I145:I148" si="94">J145-J145*$J$3</f>
        <v>24.09</v>
      </c>
      <c r="J145" s="215">
        <f t="shared" ref="J145:J148" si="95">IF($J$2=$M$2,M145,N145)</f>
        <v>24.09</v>
      </c>
      <c r="L145" s="36"/>
      <c r="M145" s="218">
        <v>24.09</v>
      </c>
      <c r="N145" s="215">
        <f>M145*1.05</f>
        <v>25.294499999999999</v>
      </c>
    </row>
    <row r="146" spans="2:14" ht="20.100000000000001" customHeight="1" x14ac:dyDescent="0.3">
      <c r="B146" s="549"/>
      <c r="C146" s="550" t="s">
        <v>492</v>
      </c>
      <c r="D146" s="551" t="s">
        <v>39</v>
      </c>
      <c r="E146" s="412" t="s">
        <v>493</v>
      </c>
      <c r="F146" s="142" t="s">
        <v>358</v>
      </c>
      <c r="G146" s="552"/>
      <c r="H146" s="553" t="s">
        <v>34</v>
      </c>
      <c r="I146" s="166">
        <f t="shared" si="94"/>
        <v>44.43</v>
      </c>
      <c r="J146" s="165">
        <f t="shared" si="95"/>
        <v>44.43</v>
      </c>
      <c r="L146" s="36"/>
      <c r="M146" s="218">
        <v>44.43</v>
      </c>
      <c r="N146" s="215">
        <f>M146*1.05</f>
        <v>46.651499999999999</v>
      </c>
    </row>
    <row r="147" spans="2:14" ht="20.100000000000001" customHeight="1" x14ac:dyDescent="0.3">
      <c r="B147" s="549"/>
      <c r="C147" s="550"/>
      <c r="D147" s="551"/>
      <c r="E147" s="223" t="s">
        <v>494</v>
      </c>
      <c r="F147" s="177" t="s">
        <v>496</v>
      </c>
      <c r="G147" s="552"/>
      <c r="H147" s="553"/>
      <c r="I147" s="166">
        <f t="shared" si="94"/>
        <v>44.43</v>
      </c>
      <c r="J147" s="165">
        <f t="shared" si="95"/>
        <v>44.43</v>
      </c>
      <c r="L147" s="36"/>
      <c r="M147" s="218">
        <v>44.43</v>
      </c>
      <c r="N147" s="215">
        <f t="shared" ref="N147:N148" si="96">M147*1.05</f>
        <v>46.651499999999999</v>
      </c>
    </row>
    <row r="148" spans="2:14" ht="20.100000000000001" customHeight="1" x14ac:dyDescent="0.3">
      <c r="B148" s="549"/>
      <c r="C148" s="550"/>
      <c r="D148" s="551"/>
      <c r="E148" s="223" t="s">
        <v>495</v>
      </c>
      <c r="F148" s="177" t="s">
        <v>357</v>
      </c>
      <c r="G148" s="552"/>
      <c r="H148" s="553"/>
      <c r="I148" s="166">
        <f t="shared" si="94"/>
        <v>44.43</v>
      </c>
      <c r="J148" s="165">
        <f t="shared" si="95"/>
        <v>44.43</v>
      </c>
      <c r="L148" s="36"/>
      <c r="M148" s="218">
        <v>44.43</v>
      </c>
      <c r="N148" s="215">
        <f t="shared" si="96"/>
        <v>46.651499999999999</v>
      </c>
    </row>
    <row r="149" spans="2:14" x14ac:dyDescent="0.3">
      <c r="B149" s="231" t="s">
        <v>285</v>
      </c>
      <c r="C149" s="231"/>
      <c r="D149" s="231"/>
      <c r="E149" s="231"/>
      <c r="F149" s="231"/>
      <c r="G149" s="231"/>
      <c r="H149" s="231"/>
      <c r="I149" s="231"/>
      <c r="J149" s="231"/>
      <c r="L149" s="36"/>
      <c r="M149" s="172">
        <v>0</v>
      </c>
      <c r="N149" s="220"/>
    </row>
    <row r="150" spans="2:14" ht="20.100000000000001" customHeight="1" x14ac:dyDescent="0.3">
      <c r="B150" s="556"/>
      <c r="C150" s="554" t="s">
        <v>86</v>
      </c>
      <c r="D150" s="158" t="s">
        <v>152</v>
      </c>
      <c r="E150" s="223" t="s">
        <v>436</v>
      </c>
      <c r="F150" s="177" t="s">
        <v>243</v>
      </c>
      <c r="G150" s="560"/>
      <c r="H150" s="563" t="s">
        <v>34</v>
      </c>
      <c r="I150" s="46">
        <f>J150-J150*$J$3</f>
        <v>9.08</v>
      </c>
      <c r="J150" s="215">
        <f>IF($J$2=$M$2,M150,N150)</f>
        <v>9.08</v>
      </c>
      <c r="L150" s="36"/>
      <c r="M150" s="218">
        <v>9.08</v>
      </c>
      <c r="N150" s="215">
        <f t="shared" ref="N150:N163" si="97">M150*1.05</f>
        <v>9.5340000000000007</v>
      </c>
    </row>
    <row r="151" spans="2:14" ht="20.100000000000001" customHeight="1" x14ac:dyDescent="0.3">
      <c r="B151" s="558"/>
      <c r="C151" s="559"/>
      <c r="D151" s="164"/>
      <c r="E151" s="223" t="s">
        <v>437</v>
      </c>
      <c r="F151" s="177" t="s">
        <v>365</v>
      </c>
      <c r="G151" s="561"/>
      <c r="H151" s="564"/>
      <c r="I151" s="46">
        <f t="shared" ref="I151:I152" si="98">J151-J151*$J$3</f>
        <v>9.08</v>
      </c>
      <c r="J151" s="215">
        <f t="shared" ref="J151:J152" si="99">IF($J$2=$M$2,M151,N151)</f>
        <v>9.08</v>
      </c>
      <c r="L151" s="36"/>
      <c r="M151" s="218">
        <v>9.08</v>
      </c>
      <c r="N151" s="215">
        <f t="shared" ref="N151:N152" si="100">M151*1.05</f>
        <v>9.5340000000000007</v>
      </c>
    </row>
    <row r="152" spans="2:14" ht="20.100000000000001" customHeight="1" x14ac:dyDescent="0.3">
      <c r="B152" s="557"/>
      <c r="C152" s="555"/>
      <c r="D152" s="164"/>
      <c r="E152" s="223" t="s">
        <v>438</v>
      </c>
      <c r="F152" s="177" t="s">
        <v>357</v>
      </c>
      <c r="G152" s="562"/>
      <c r="H152" s="565"/>
      <c r="I152" s="46">
        <f t="shared" si="98"/>
        <v>9.08</v>
      </c>
      <c r="J152" s="215">
        <f t="shared" si="99"/>
        <v>9.08</v>
      </c>
      <c r="L152" s="36"/>
      <c r="M152" s="218">
        <v>9.08</v>
      </c>
      <c r="N152" s="215">
        <f t="shared" si="100"/>
        <v>9.5340000000000007</v>
      </c>
    </row>
    <row r="153" spans="2:14" ht="38.25" customHeight="1" x14ac:dyDescent="0.3">
      <c r="B153" s="183"/>
      <c r="C153" s="163" t="s">
        <v>153</v>
      </c>
      <c r="D153" s="158" t="s">
        <v>154</v>
      </c>
      <c r="E153" s="223" t="s">
        <v>434</v>
      </c>
      <c r="F153" s="177"/>
      <c r="G153" s="45"/>
      <c r="H153" s="161" t="s">
        <v>34</v>
      </c>
      <c r="I153" s="46">
        <f t="shared" ref="I153:I163" si="101">J153-J153*$J$3</f>
        <v>74.58</v>
      </c>
      <c r="J153" s="215">
        <f>IF($J$2=$M$2,M153,N153)</f>
        <v>74.58</v>
      </c>
      <c r="L153" s="36"/>
      <c r="M153" s="218">
        <v>74.58</v>
      </c>
      <c r="N153" s="215">
        <f t="shared" si="97"/>
        <v>78.308999999999997</v>
      </c>
    </row>
    <row r="154" spans="2:14" ht="39" customHeight="1" x14ac:dyDescent="0.3">
      <c r="B154" s="183"/>
      <c r="C154" s="163" t="s">
        <v>155</v>
      </c>
      <c r="D154" s="158" t="s">
        <v>154</v>
      </c>
      <c r="E154" s="223" t="s">
        <v>435</v>
      </c>
      <c r="F154" s="177"/>
      <c r="G154" s="45"/>
      <c r="H154" s="161" t="s">
        <v>34</v>
      </c>
      <c r="I154" s="46">
        <f t="shared" si="101"/>
        <v>59.9</v>
      </c>
      <c r="J154" s="215">
        <f>IF($J$2=$M$2,M154,N154)</f>
        <v>59.9</v>
      </c>
      <c r="L154" s="36"/>
      <c r="M154" s="218">
        <v>59.9</v>
      </c>
      <c r="N154" s="215">
        <f t="shared" si="97"/>
        <v>62.895000000000003</v>
      </c>
    </row>
    <row r="155" spans="2:14" ht="42" customHeight="1" x14ac:dyDescent="0.3">
      <c r="B155" s="183"/>
      <c r="C155" s="163" t="s">
        <v>156</v>
      </c>
      <c r="D155" s="158" t="s">
        <v>45</v>
      </c>
      <c r="E155" s="223" t="s">
        <v>210</v>
      </c>
      <c r="F155" s="177"/>
      <c r="G155" s="45"/>
      <c r="H155" s="38" t="s">
        <v>34</v>
      </c>
      <c r="I155" s="46">
        <f t="shared" si="101"/>
        <v>12.92</v>
      </c>
      <c r="J155" s="215">
        <f>IF($J$2=$M$2,M155,N155)</f>
        <v>12.92</v>
      </c>
      <c r="L155" s="36"/>
      <c r="M155" s="218">
        <v>12.92</v>
      </c>
      <c r="N155" s="215">
        <f t="shared" si="97"/>
        <v>13.566000000000001</v>
      </c>
    </row>
    <row r="156" spans="2:14" ht="34.5" customHeight="1" x14ac:dyDescent="0.3">
      <c r="B156" s="44"/>
      <c r="C156" s="163" t="s">
        <v>88</v>
      </c>
      <c r="D156" s="158" t="s">
        <v>89</v>
      </c>
      <c r="E156" s="223" t="s">
        <v>439</v>
      </c>
      <c r="F156" s="228" t="s">
        <v>363</v>
      </c>
      <c r="G156" s="45"/>
      <c r="H156" s="38" t="s">
        <v>56</v>
      </c>
      <c r="I156" s="46">
        <f t="shared" si="101"/>
        <v>54.74</v>
      </c>
      <c r="J156" s="215">
        <f>IF($J$2=$M$2,M156,N156)</f>
        <v>54.74</v>
      </c>
      <c r="L156" s="36"/>
      <c r="M156" s="218">
        <v>54.74</v>
      </c>
      <c r="N156" s="215">
        <f t="shared" si="97"/>
        <v>57.477000000000004</v>
      </c>
    </row>
    <row r="157" spans="2:14" ht="36" customHeight="1" x14ac:dyDescent="0.3">
      <c r="B157" s="556"/>
      <c r="C157" s="554" t="s">
        <v>157</v>
      </c>
      <c r="D157" s="158" t="s">
        <v>89</v>
      </c>
      <c r="E157" s="223" t="s">
        <v>440</v>
      </c>
      <c r="F157" s="228" t="s">
        <v>363</v>
      </c>
      <c r="G157" s="45"/>
      <c r="H157" s="161" t="s">
        <v>56</v>
      </c>
      <c r="I157" s="46">
        <f t="shared" si="101"/>
        <v>34.99</v>
      </c>
      <c r="J157" s="215">
        <v>34.99</v>
      </c>
      <c r="L157" s="36"/>
      <c r="M157" s="218">
        <v>31.91</v>
      </c>
      <c r="N157" s="215">
        <f t="shared" si="97"/>
        <v>33.505500000000005</v>
      </c>
    </row>
    <row r="158" spans="2:14" ht="32.25" customHeight="1" x14ac:dyDescent="0.3">
      <c r="B158" s="557"/>
      <c r="C158" s="555"/>
      <c r="D158" s="158" t="s">
        <v>89</v>
      </c>
      <c r="E158" s="223" t="s">
        <v>441</v>
      </c>
      <c r="F158" s="228" t="s">
        <v>364</v>
      </c>
      <c r="G158" s="45"/>
      <c r="H158" s="161" t="s">
        <v>56</v>
      </c>
      <c r="I158" s="46">
        <f t="shared" si="101"/>
        <v>34.99</v>
      </c>
      <c r="J158" s="215">
        <v>34.99</v>
      </c>
      <c r="L158" s="36"/>
      <c r="M158" s="218">
        <v>31.91</v>
      </c>
      <c r="N158" s="215">
        <f t="shared" si="97"/>
        <v>33.505500000000005</v>
      </c>
    </row>
    <row r="159" spans="2:14" ht="20.100000000000001" customHeight="1" x14ac:dyDescent="0.3">
      <c r="B159" s="556"/>
      <c r="C159" s="554" t="s">
        <v>158</v>
      </c>
      <c r="D159" s="158" t="s">
        <v>159</v>
      </c>
      <c r="E159" s="223" t="s">
        <v>443</v>
      </c>
      <c r="F159" s="177" t="s">
        <v>362</v>
      </c>
      <c r="G159" s="560"/>
      <c r="H159" s="563" t="s">
        <v>56</v>
      </c>
      <c r="I159" s="46">
        <f t="shared" si="101"/>
        <v>18.95</v>
      </c>
      <c r="J159" s="215">
        <f>IF($J$2=$M$2,M159,N159)</f>
        <v>18.95</v>
      </c>
      <c r="L159" s="36"/>
      <c r="M159" s="218">
        <v>18.95</v>
      </c>
      <c r="N159" s="215">
        <f t="shared" si="97"/>
        <v>19.897500000000001</v>
      </c>
    </row>
    <row r="160" spans="2:14" ht="20.100000000000001" customHeight="1" x14ac:dyDescent="0.3">
      <c r="B160" s="558"/>
      <c r="C160" s="559"/>
      <c r="D160" s="164"/>
      <c r="E160" s="223" t="s">
        <v>444</v>
      </c>
      <c r="F160" s="177" t="s">
        <v>359</v>
      </c>
      <c r="G160" s="561"/>
      <c r="H160" s="564"/>
      <c r="I160" s="46">
        <f t="shared" ref="I160:I162" si="102">J160-J160*$J$3</f>
        <v>18.95</v>
      </c>
      <c r="J160" s="215">
        <f t="shared" ref="J160:J162" si="103">IF($J$2=$M$2,M160,N160)</f>
        <v>18.95</v>
      </c>
      <c r="L160" s="36"/>
      <c r="M160" s="218">
        <v>18.95</v>
      </c>
      <c r="N160" s="215">
        <f t="shared" ref="N160:N162" si="104">M160*1.05</f>
        <v>19.897500000000001</v>
      </c>
    </row>
    <row r="161" spans="2:14" ht="20.100000000000001" customHeight="1" x14ac:dyDescent="0.3">
      <c r="B161" s="558"/>
      <c r="C161" s="559"/>
      <c r="D161" s="164"/>
      <c r="E161" s="223" t="s">
        <v>445</v>
      </c>
      <c r="F161" s="177" t="s">
        <v>358</v>
      </c>
      <c r="G161" s="561"/>
      <c r="H161" s="564"/>
      <c r="I161" s="46">
        <f t="shared" si="102"/>
        <v>18.95</v>
      </c>
      <c r="J161" s="215">
        <f t="shared" si="103"/>
        <v>18.95</v>
      </c>
      <c r="L161" s="36"/>
      <c r="M161" s="218">
        <v>18.95</v>
      </c>
      <c r="N161" s="215">
        <f t="shared" si="104"/>
        <v>19.897500000000001</v>
      </c>
    </row>
    <row r="162" spans="2:14" ht="20.100000000000001" customHeight="1" x14ac:dyDescent="0.3">
      <c r="B162" s="557"/>
      <c r="C162" s="555"/>
      <c r="D162" s="164"/>
      <c r="E162" s="223" t="s">
        <v>446</v>
      </c>
      <c r="F162" s="177" t="s">
        <v>357</v>
      </c>
      <c r="G162" s="562"/>
      <c r="H162" s="565"/>
      <c r="I162" s="46">
        <f t="shared" si="102"/>
        <v>18.95</v>
      </c>
      <c r="J162" s="215">
        <f t="shared" si="103"/>
        <v>18.95</v>
      </c>
      <c r="L162" s="36"/>
      <c r="M162" s="218">
        <v>18.95</v>
      </c>
      <c r="N162" s="215">
        <f t="shared" si="104"/>
        <v>19.897500000000001</v>
      </c>
    </row>
    <row r="163" spans="2:14" ht="39" customHeight="1" x14ac:dyDescent="0.3">
      <c r="B163" s="183"/>
      <c r="C163" s="163" t="s">
        <v>87</v>
      </c>
      <c r="D163" s="158" t="s">
        <v>76</v>
      </c>
      <c r="E163" s="223" t="s">
        <v>442</v>
      </c>
      <c r="F163" s="177"/>
      <c r="G163" s="45"/>
      <c r="H163" s="161" t="s">
        <v>34</v>
      </c>
      <c r="I163" s="46">
        <f t="shared" si="101"/>
        <v>7.48</v>
      </c>
      <c r="J163" s="215">
        <f>IF($J$2=$M$2,M163,N163)</f>
        <v>7.48</v>
      </c>
      <c r="L163" s="36"/>
      <c r="M163" s="218">
        <v>7.48</v>
      </c>
      <c r="N163" s="215">
        <f t="shared" si="97"/>
        <v>7.854000000000001</v>
      </c>
    </row>
  </sheetData>
  <sheetProtection algorithmName="SHA-512" hashValue="76YGl/ooMJFuExRZbpx0+YbEdFx68/zTUfkCdPqexPySLlTMyL+sEmSCMjd/BoCrlYhq7esnkqUSuz13Atwf5g==" saltValue="Bxq5WyN0SOEO3+/ctIf4OA==" spinCount="100000" sheet="1" objects="1" selectLockedCells="1"/>
  <mergeCells count="141">
    <mergeCell ref="B7:J7"/>
    <mergeCell ref="P63:P65"/>
    <mergeCell ref="P66:P67"/>
    <mergeCell ref="B122:B124"/>
    <mergeCell ref="C122:C124"/>
    <mergeCell ref="D122:D124"/>
    <mergeCell ref="G122:G124"/>
    <mergeCell ref="C119:C121"/>
    <mergeCell ref="B116:B121"/>
    <mergeCell ref="C116:C118"/>
    <mergeCell ref="D116:D121"/>
    <mergeCell ref="G116:G121"/>
    <mergeCell ref="G24:G25"/>
    <mergeCell ref="B45:B52"/>
    <mergeCell ref="C45:C52"/>
    <mergeCell ref="D47:D52"/>
    <mergeCell ref="G45:G52"/>
    <mergeCell ref="H45:H52"/>
    <mergeCell ref="B78:B80"/>
    <mergeCell ref="C78:C80"/>
    <mergeCell ref="D78:D80"/>
    <mergeCell ref="D45:D46"/>
    <mergeCell ref="D53:D59"/>
    <mergeCell ref="B60:B67"/>
    <mergeCell ref="C60:C67"/>
    <mergeCell ref="D60:D67"/>
    <mergeCell ref="G60:G67"/>
    <mergeCell ref="H60:H67"/>
    <mergeCell ref="D37:D38"/>
    <mergeCell ref="B53:B59"/>
    <mergeCell ref="C53:C59"/>
    <mergeCell ref="G53:G59"/>
    <mergeCell ref="H53:H59"/>
    <mergeCell ref="D29:D30"/>
    <mergeCell ref="B29:B36"/>
    <mergeCell ref="C29:C36"/>
    <mergeCell ref="D31:D36"/>
    <mergeCell ref="G29:G36"/>
    <mergeCell ref="H29:H36"/>
    <mergeCell ref="B37:B44"/>
    <mergeCell ref="C37:C44"/>
    <mergeCell ref="D39:D44"/>
    <mergeCell ref="G37:G44"/>
    <mergeCell ref="H37:H44"/>
    <mergeCell ref="G3:I3"/>
    <mergeCell ref="B5:J5"/>
    <mergeCell ref="B6:D6"/>
    <mergeCell ref="D8:D9"/>
    <mergeCell ref="B26:B28"/>
    <mergeCell ref="C26:C28"/>
    <mergeCell ref="G26:G28"/>
    <mergeCell ref="H26:H28"/>
    <mergeCell ref="H24:H25"/>
    <mergeCell ref="D26:D28"/>
    <mergeCell ref="B24:B25"/>
    <mergeCell ref="C24:C25"/>
    <mergeCell ref="B8:B15"/>
    <mergeCell ref="C8:C15"/>
    <mergeCell ref="D10:D15"/>
    <mergeCell ref="G16:G23"/>
    <mergeCell ref="B16:B23"/>
    <mergeCell ref="C16:C23"/>
    <mergeCell ref="D16:D17"/>
    <mergeCell ref="H16:H23"/>
    <mergeCell ref="G8:G15"/>
    <mergeCell ref="H8:H15"/>
    <mergeCell ref="D18:D23"/>
    <mergeCell ref="D24:D25"/>
    <mergeCell ref="B85:B88"/>
    <mergeCell ref="C85:C88"/>
    <mergeCell ref="D85:D88"/>
    <mergeCell ref="G85:G88"/>
    <mergeCell ref="H85:H88"/>
    <mergeCell ref="B69:B76"/>
    <mergeCell ref="C69:C76"/>
    <mergeCell ref="G69:G76"/>
    <mergeCell ref="H69:H76"/>
    <mergeCell ref="D69:D76"/>
    <mergeCell ref="B82:B84"/>
    <mergeCell ref="C82:C84"/>
    <mergeCell ref="D82:D84"/>
    <mergeCell ref="G82:G84"/>
    <mergeCell ref="H82:H84"/>
    <mergeCell ref="G78:G80"/>
    <mergeCell ref="H78:H80"/>
    <mergeCell ref="B131:B133"/>
    <mergeCell ref="C131:C133"/>
    <mergeCell ref="D131:D133"/>
    <mergeCell ref="G131:G133"/>
    <mergeCell ref="H131:H133"/>
    <mergeCell ref="B89:B91"/>
    <mergeCell ref="C89:C91"/>
    <mergeCell ref="B92:B94"/>
    <mergeCell ref="C92:C94"/>
    <mergeCell ref="H89:H91"/>
    <mergeCell ref="H92:H94"/>
    <mergeCell ref="G92:G94"/>
    <mergeCell ref="G89:G91"/>
    <mergeCell ref="B103:B106"/>
    <mergeCell ref="C103:C106"/>
    <mergeCell ref="B100:B102"/>
    <mergeCell ref="C100:C102"/>
    <mergeCell ref="D100:D102"/>
    <mergeCell ref="G100:G102"/>
    <mergeCell ref="H100:H102"/>
    <mergeCell ref="H122:H124"/>
    <mergeCell ref="H116:H121"/>
    <mergeCell ref="B97:B99"/>
    <mergeCell ref="C97:C99"/>
    <mergeCell ref="H97:H99"/>
    <mergeCell ref="G97:G99"/>
    <mergeCell ref="H103:H106"/>
    <mergeCell ref="G103:G106"/>
    <mergeCell ref="B111:B114"/>
    <mergeCell ref="C111:C114"/>
    <mergeCell ref="D111:D114"/>
    <mergeCell ref="G111:G114"/>
    <mergeCell ref="H111:H114"/>
    <mergeCell ref="B159:B162"/>
    <mergeCell ref="C159:C162"/>
    <mergeCell ref="G159:G162"/>
    <mergeCell ref="H159:H162"/>
    <mergeCell ref="B144:B145"/>
    <mergeCell ref="C144:C145"/>
    <mergeCell ref="H144:H145"/>
    <mergeCell ref="G144:G145"/>
    <mergeCell ref="B140:B143"/>
    <mergeCell ref="C140:C143"/>
    <mergeCell ref="H140:H143"/>
    <mergeCell ref="G140:G143"/>
    <mergeCell ref="B146:B148"/>
    <mergeCell ref="C146:C148"/>
    <mergeCell ref="D146:D148"/>
    <mergeCell ref="G146:G148"/>
    <mergeCell ref="H146:H148"/>
    <mergeCell ref="C157:C158"/>
    <mergeCell ref="B157:B158"/>
    <mergeCell ref="B150:B152"/>
    <mergeCell ref="C150:C152"/>
    <mergeCell ref="G150:G152"/>
    <mergeCell ref="H150:H152"/>
  </mergeCells>
  <dataValidations count="1">
    <dataValidation type="list" allowBlank="1" showInputMessage="1" showErrorMessage="1" sqref="J2">
      <formula1>$M$2:$M$3</formula1>
    </dataValidation>
  </dataValidations>
  <pageMargins left="0.7" right="0.7" top="0.75" bottom="0.75" header="0.3" footer="0.3"/>
  <pageSetup paperSize="9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Подвесная</vt:lpstr>
      <vt:lpstr>Подвесная угловая</vt:lpstr>
      <vt:lpstr>Складная</vt:lpstr>
      <vt:lpstr>Распашная</vt:lpstr>
      <vt:lpstr>Стационарная</vt:lpstr>
      <vt:lpstr>Цены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Pisarev</dc:creator>
  <cp:lastModifiedBy>Прун Алина Александровна</cp:lastModifiedBy>
  <cp:lastPrinted>2022-05-14T19:52:51Z</cp:lastPrinted>
  <dcterms:created xsi:type="dcterms:W3CDTF">2015-02-11T05:31:15Z</dcterms:created>
  <dcterms:modified xsi:type="dcterms:W3CDTF">2022-07-12T08:04:41Z</dcterms:modified>
</cp:coreProperties>
</file>